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ipat\Desktop\MIS\"/>
    </mc:Choice>
  </mc:AlternateContent>
  <bookViews>
    <workbookView xWindow="0" yWindow="0" windowWidth="20496" windowHeight="7752" firstSheet="1" activeTab="5"/>
  </bookViews>
  <sheets>
    <sheet name="LOGIC" sheetId="5" r:id="rId1"/>
    <sheet name="ASSUMPTIONS" sheetId="7" r:id="rId2"/>
    <sheet name="PL" sheetId="1" r:id="rId3"/>
    <sheet name="BS" sheetId="4" r:id="rId4"/>
    <sheet name="W NOTES" sheetId="8" r:id="rId5"/>
    <sheet name="RATIOS" sheetId="12" r:id="rId6"/>
    <sheet name="Sheet2" sheetId="6" state="hidden" r:id="rId7"/>
    <sheet name="fund flow" sheetId="9" r:id="rId8"/>
    <sheet name="cash flow" sheetId="11" r:id="rId9"/>
    <sheet name="cash flow statment" sheetId="10" r:id="rId10"/>
  </sheets>
  <calcPr calcId="152511"/>
</workbook>
</file>

<file path=xl/calcChain.xml><?xml version="1.0" encoding="utf-8"?>
<calcChain xmlns="http://schemas.openxmlformats.org/spreadsheetml/2006/main">
  <c r="G24" i="12" l="1"/>
  <c r="H24" i="12"/>
  <c r="F24" i="12"/>
  <c r="G23" i="12"/>
  <c r="H23" i="12"/>
  <c r="F23" i="12"/>
  <c r="G47" i="12"/>
  <c r="H47" i="12"/>
  <c r="F47" i="12"/>
  <c r="H33" i="12"/>
  <c r="G33" i="12"/>
  <c r="G31" i="12"/>
  <c r="H31" i="12"/>
  <c r="F31" i="12"/>
  <c r="G30" i="12"/>
  <c r="H30" i="12"/>
  <c r="F30" i="12"/>
  <c r="G29" i="12"/>
  <c r="H29" i="12"/>
  <c r="F29" i="12"/>
  <c r="G28" i="12"/>
  <c r="H28" i="12"/>
  <c r="F28" i="12"/>
  <c r="G21" i="12"/>
  <c r="H21" i="12"/>
  <c r="M25" i="1"/>
  <c r="H20" i="12"/>
  <c r="G20" i="12"/>
  <c r="G19" i="12"/>
  <c r="H19" i="12"/>
  <c r="G18" i="12"/>
  <c r="H18" i="12"/>
  <c r="G17" i="12"/>
  <c r="H17" i="12"/>
  <c r="N16" i="1"/>
  <c r="M16" i="1"/>
  <c r="L16" i="1"/>
  <c r="H16" i="12"/>
  <c r="G16" i="12"/>
  <c r="G16" i="1"/>
  <c r="H15" i="12"/>
  <c r="G15" i="12"/>
  <c r="H14" i="12"/>
  <c r="G14" i="12"/>
  <c r="F12" i="12"/>
  <c r="H12" i="12"/>
  <c r="G12" i="12"/>
  <c r="H11" i="12"/>
  <c r="G11" i="12"/>
  <c r="F11" i="12"/>
  <c r="H10" i="12"/>
  <c r="G10" i="12"/>
  <c r="L29" i="4"/>
  <c r="K29" i="4"/>
  <c r="H9" i="12"/>
  <c r="G9" i="12"/>
  <c r="H27" i="4"/>
  <c r="G27" i="4"/>
  <c r="F27" i="4"/>
  <c r="F9" i="12" s="1"/>
  <c r="B27" i="4"/>
  <c r="C27" i="4"/>
  <c r="C29" i="4"/>
  <c r="D27" i="4"/>
  <c r="D29" i="4"/>
  <c r="H7" i="12"/>
  <c r="G7" i="12"/>
  <c r="H6" i="12"/>
  <c r="L25" i="1"/>
  <c r="G6" i="12"/>
  <c r="H5" i="12"/>
  <c r="G5" i="12"/>
  <c r="F5" i="12"/>
  <c r="E23" i="1" l="1"/>
  <c r="E26" i="1" s="1"/>
  <c r="G29" i="4"/>
  <c r="G25" i="4" s="1"/>
  <c r="F29" i="4"/>
  <c r="H26" i="4"/>
  <c r="G26" i="4"/>
  <c r="F26" i="4"/>
  <c r="G24" i="4"/>
  <c r="H24" i="4" s="1"/>
  <c r="G21" i="4"/>
  <c r="H12" i="4"/>
  <c r="G12" i="4"/>
  <c r="G11" i="4"/>
  <c r="H11" i="4" s="1"/>
  <c r="H8" i="4"/>
  <c r="G8" i="4"/>
  <c r="C26" i="4"/>
  <c r="D26" i="4" s="1"/>
  <c r="C24" i="4"/>
  <c r="D24" i="4" s="1"/>
  <c r="C23" i="4"/>
  <c r="D23" i="4" s="1"/>
  <c r="C22" i="4"/>
  <c r="D22" i="4" s="1"/>
  <c r="C21" i="4"/>
  <c r="D21" i="4" s="1"/>
  <c r="D17" i="4"/>
  <c r="D14" i="4"/>
  <c r="C14" i="4"/>
  <c r="C9" i="4"/>
  <c r="C4" i="4"/>
  <c r="D30" i="1"/>
  <c r="H28" i="1"/>
  <c r="D28" i="1"/>
  <c r="E27" i="1"/>
  <c r="I27" i="1"/>
  <c r="E18" i="1"/>
  <c r="I12" i="1"/>
  <c r="I11" i="1"/>
  <c r="E9" i="1"/>
  <c r="E25" i="1"/>
  <c r="E20" i="1"/>
  <c r="E17" i="1"/>
  <c r="E16" i="1"/>
  <c r="E14" i="1"/>
  <c r="E12" i="1"/>
  <c r="E7" i="1"/>
  <c r="E11" i="1"/>
  <c r="H10" i="1"/>
  <c r="H7" i="1" s="1"/>
  <c r="E4" i="1" s="1"/>
  <c r="E5" i="1"/>
  <c r="D10" i="1"/>
  <c r="I6" i="1"/>
  <c r="I4" i="1"/>
  <c r="E8" i="1"/>
  <c r="E28" i="1" l="1"/>
  <c r="E30" i="1" s="1"/>
  <c r="D9" i="4" s="1"/>
  <c r="H29" i="4" s="1"/>
  <c r="H25" i="4" s="1"/>
  <c r="I28" i="1"/>
  <c r="E10" i="1"/>
  <c r="I10" i="1" s="1"/>
  <c r="I7" i="1" s="1"/>
  <c r="G22" i="8"/>
  <c r="G21" i="8"/>
  <c r="F21" i="8"/>
  <c r="F20" i="8"/>
  <c r="F6" i="8"/>
  <c r="F5" i="8"/>
  <c r="G27" i="1"/>
  <c r="D23" i="1"/>
  <c r="H11" i="1"/>
  <c r="D25" i="1"/>
  <c r="D18" i="1"/>
  <c r="D17" i="1"/>
  <c r="D16" i="1"/>
  <c r="D14" i="1"/>
  <c r="D12" i="1"/>
  <c r="D11" i="1"/>
  <c r="G15" i="8"/>
  <c r="J12" i="8"/>
  <c r="G13" i="8"/>
  <c r="G12" i="8"/>
  <c r="O7" i="7"/>
  <c r="H6" i="1"/>
  <c r="H4" i="1"/>
  <c r="D8" i="1"/>
  <c r="D7" i="1"/>
  <c r="D5" i="1"/>
  <c r="D4" i="1"/>
  <c r="I15" i="8" l="1"/>
  <c r="J15" i="8" s="1"/>
  <c r="F16" i="12" l="1"/>
  <c r="F18" i="12" s="1"/>
  <c r="C16" i="12"/>
  <c r="C17" i="12" s="1"/>
  <c r="C18" i="12" s="1"/>
  <c r="C19" i="12" s="1"/>
  <c r="C20" i="12" s="1"/>
  <c r="C21" i="12" s="1"/>
  <c r="C23" i="12" s="1"/>
  <c r="C24" i="12" s="1"/>
  <c r="C15" i="12"/>
  <c r="C10" i="12"/>
  <c r="C11" i="12" s="1"/>
  <c r="C12" i="12" s="1"/>
  <c r="C6" i="12"/>
  <c r="C7" i="12" s="1"/>
  <c r="B31" i="4" l="1"/>
  <c r="F8" i="4"/>
  <c r="G20" i="8"/>
  <c r="I12" i="8"/>
  <c r="F13" i="8" s="1"/>
  <c r="D31" i="6"/>
  <c r="J5" i="1"/>
  <c r="J9" i="1"/>
  <c r="K9" i="1" l="1"/>
  <c r="K5" i="1"/>
  <c r="L9" i="1"/>
  <c r="H5" i="8"/>
  <c r="I5" i="8" s="1"/>
  <c r="C6" i="8" s="1"/>
  <c r="H6" i="8" s="1"/>
  <c r="D20" i="1" s="1"/>
  <c r="C13" i="8"/>
  <c r="H20" i="8"/>
  <c r="C21" i="8" s="1"/>
  <c r="C20" i="1"/>
  <c r="C23" i="1"/>
  <c r="F21" i="4"/>
  <c r="G12" i="1"/>
  <c r="I13" i="8" l="1"/>
  <c r="F14" i="8" s="1"/>
  <c r="I6" i="8"/>
  <c r="C7" i="8" s="1"/>
  <c r="F7" i="8" s="1"/>
  <c r="H12" i="1"/>
  <c r="H27" i="1" s="1"/>
  <c r="D27" i="1" s="1"/>
  <c r="H21" i="8"/>
  <c r="F17" i="12"/>
  <c r="F19" i="12" s="1"/>
  <c r="F33" i="4"/>
  <c r="L5" i="1"/>
  <c r="B29" i="4"/>
  <c r="D26" i="1" l="1"/>
  <c r="J13" i="8"/>
  <c r="C14" i="8" s="1"/>
  <c r="G14" i="8" s="1"/>
  <c r="H7" i="8"/>
  <c r="C22" i="8"/>
  <c r="F20" i="4"/>
  <c r="F19" i="4"/>
  <c r="G19" i="4" s="1"/>
  <c r="H19" i="4" s="1"/>
  <c r="E22" i="8" l="1"/>
  <c r="F22" i="8" s="1"/>
  <c r="H22" i="8" s="1"/>
  <c r="I14" i="8"/>
  <c r="J14" i="8" s="1"/>
  <c r="I7" i="8"/>
  <c r="F14" i="12"/>
  <c r="F15" i="12" s="1"/>
  <c r="J29" i="4"/>
  <c r="F10" i="12" s="1"/>
  <c r="F28" i="1"/>
  <c r="F11" i="1"/>
  <c r="G10" i="1" l="1"/>
  <c r="C9" i="1" s="1"/>
  <c r="D9" i="1" s="1"/>
  <c r="F20" i="12" l="1"/>
  <c r="F21" i="12" s="1"/>
  <c r="J4" i="1"/>
  <c r="J6" i="1" s="1"/>
  <c r="C10" i="1"/>
  <c r="G11" i="1"/>
  <c r="C26" i="1" s="1"/>
  <c r="F7" i="12" s="1"/>
  <c r="C28" i="1" l="1"/>
  <c r="C30" i="1" s="1"/>
  <c r="F6" i="12"/>
  <c r="K4" i="1"/>
  <c r="K6" i="1" s="1"/>
  <c r="J8" i="1"/>
  <c r="J10" i="1" s="1"/>
  <c r="C27" i="1"/>
  <c r="G28" i="1"/>
  <c r="L4" i="1" l="1"/>
  <c r="L6" i="1" s="1"/>
  <c r="K8" i="1"/>
  <c r="K10" i="1" s="1"/>
  <c r="L8" i="1" l="1"/>
  <c r="L10" i="1" s="1"/>
</calcChain>
</file>

<file path=xl/comments1.xml><?xml version="1.0" encoding="utf-8"?>
<comments xmlns="http://schemas.openxmlformats.org/spreadsheetml/2006/main">
  <authors>
    <author>Tripat</author>
  </authors>
  <commentList>
    <comment ref="D41" authorId="0" shapeId="0">
      <text>
        <r>
          <rPr>
            <b/>
            <sz val="9"/>
            <color indexed="81"/>
            <rFont val="Tahoma"/>
            <family val="2"/>
          </rPr>
          <t>Tripat:</t>
        </r>
        <r>
          <rPr>
            <sz val="9"/>
            <color indexed="81"/>
            <rFont val="Tahoma"/>
            <family val="2"/>
          </rPr>
          <t xml:space="preserve">
i.e on d basis of % increse in purchases or by how much amt purchase amt is changed
</t>
        </r>
      </text>
    </comment>
  </commentList>
</comments>
</file>

<file path=xl/comments2.xml><?xml version="1.0" encoding="utf-8"?>
<comments xmlns="http://schemas.openxmlformats.org/spreadsheetml/2006/main">
  <authors>
    <author>Hello</author>
  </authors>
  <commentList>
    <comment ref="E18" authorId="0" shapeId="0">
      <text>
        <r>
          <rPr>
            <b/>
            <sz val="9"/>
            <color indexed="81"/>
            <rFont val="Tahoma"/>
            <charset val="1"/>
          </rPr>
          <t>Hello:</t>
        </r>
        <r>
          <rPr>
            <sz val="9"/>
            <color indexed="81"/>
            <rFont val="Tahoma"/>
            <charset val="1"/>
          </rPr>
          <t xml:space="preserve">
cause two years Inflation is applicable In new contracte</t>
        </r>
      </text>
    </comment>
  </commentList>
</comments>
</file>

<file path=xl/comments3.xml><?xml version="1.0" encoding="utf-8"?>
<comments xmlns="http://schemas.openxmlformats.org/spreadsheetml/2006/main">
  <authors>
    <author>Tripat</author>
    <author>Hello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Tripat:</t>
        </r>
        <r>
          <rPr>
            <sz val="9"/>
            <color indexed="81"/>
            <rFont val="Tahoma"/>
            <family val="2"/>
          </rPr>
          <t xml:space="preserve">
assuing last yr profit 4000
</t>
        </r>
      </text>
    </comment>
    <comment ref="H20" authorId="1" shapeId="0">
      <text>
        <r>
          <rPr>
            <b/>
            <sz val="9"/>
            <color indexed="81"/>
            <rFont val="Tahoma"/>
            <family val="2"/>
          </rPr>
          <t>Hello:</t>
        </r>
        <r>
          <rPr>
            <sz val="9"/>
            <color indexed="81"/>
            <rFont val="Tahoma"/>
            <family val="2"/>
          </rPr>
          <t xml:space="preserve">
CAUSE PREPAID MAINTANENCE IS ALSO EFFECTED BY TWO YEARS INFLATION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Tripat:</t>
        </r>
        <r>
          <rPr>
            <sz val="9"/>
            <color indexed="81"/>
            <rFont val="Tahoma"/>
            <family val="2"/>
          </rPr>
          <t xml:space="preserve">
put the random amount
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Tripat:</t>
        </r>
        <r>
          <rPr>
            <sz val="9"/>
            <color indexed="81"/>
            <rFont val="Tahoma"/>
            <family val="2"/>
          </rPr>
          <t xml:space="preserve">
balancing figure
</t>
        </r>
      </text>
    </comment>
  </commentList>
</comments>
</file>

<file path=xl/comments4.xml><?xml version="1.0" encoding="utf-8"?>
<comments xmlns="http://schemas.openxmlformats.org/spreadsheetml/2006/main">
  <authors>
    <author>Hello</author>
  </authors>
  <commentList>
    <comment ref="E22" authorId="0" shapeId="0">
      <text>
        <r>
          <rPr>
            <b/>
            <sz val="9"/>
            <color indexed="81"/>
            <rFont val="Tahoma"/>
            <charset val="1"/>
          </rPr>
          <t>Hello:</t>
        </r>
        <r>
          <rPr>
            <sz val="9"/>
            <color indexed="81"/>
            <rFont val="Tahoma"/>
            <charset val="1"/>
          </rPr>
          <t xml:space="preserve">
WITH ASSUMPTION THAT FD IS BROKEN ON VERY FRIST DAY
</t>
        </r>
      </text>
    </comment>
  </commentList>
</comments>
</file>

<file path=xl/sharedStrings.xml><?xml version="1.0" encoding="utf-8"?>
<sst xmlns="http://schemas.openxmlformats.org/spreadsheetml/2006/main" count="304" uniqueCount="270">
  <si>
    <t>PROFIT &amp; LOSS A/C</t>
  </si>
  <si>
    <t>OPENING STOCK</t>
  </si>
  <si>
    <t>PURCHASE</t>
  </si>
  <si>
    <t>DIRECT EXP</t>
  </si>
  <si>
    <t>FRIEGHT</t>
  </si>
  <si>
    <t>LODING &amp; UNLODING</t>
  </si>
  <si>
    <t>SALE</t>
  </si>
  <si>
    <t>DIRECT INCOME</t>
  </si>
  <si>
    <t>TRANSPORT INCOME</t>
  </si>
  <si>
    <t>CLOSING STOCK</t>
  </si>
  <si>
    <t>GROSS PROFIT</t>
  </si>
  <si>
    <t>CURRENT</t>
  </si>
  <si>
    <t>SALARY</t>
  </si>
  <si>
    <t>RENT GODOWN</t>
  </si>
  <si>
    <t>RENT OFFICE</t>
  </si>
  <si>
    <t>BAD DEBTS</t>
  </si>
  <si>
    <t>ADVERTIESMENT</t>
  </si>
  <si>
    <t>OFFICE MAINTENAMCE</t>
  </si>
  <si>
    <t>DEPRECIATION</t>
  </si>
  <si>
    <t>TELEPHONE EXP</t>
  </si>
  <si>
    <t>NET PROFIT</t>
  </si>
  <si>
    <t>INTEREST ON FD</t>
  </si>
  <si>
    <t>ASSETS</t>
  </si>
  <si>
    <t>INTREST ON DIRECTOR LOAN</t>
  </si>
  <si>
    <t>LESS</t>
  </si>
  <si>
    <t>LIABILITIES</t>
  </si>
  <si>
    <t>SHARE CAPITAL</t>
  </si>
  <si>
    <t>CURRENT LIABILITIES</t>
  </si>
  <si>
    <t>SALARY PAYABLE</t>
  </si>
  <si>
    <t>FREIGHT EXP PAYABLE</t>
  </si>
  <si>
    <t>CREDITORS FOR PURCHASES</t>
  </si>
  <si>
    <t>FIXED ASSETS</t>
  </si>
  <si>
    <t>GROSS BLOCK</t>
  </si>
  <si>
    <t>ACC DEP</t>
  </si>
  <si>
    <t>NET BLOCK</t>
  </si>
  <si>
    <t>SUNDRY DEBTORS</t>
  </si>
  <si>
    <t>BANK FD</t>
  </si>
  <si>
    <t>CASH</t>
  </si>
  <si>
    <t>CURRENT ASSETS</t>
  </si>
  <si>
    <t>SECURITY DEPOSIT</t>
  </si>
  <si>
    <t>PROVISON FOR TAX</t>
  </si>
  <si>
    <t>PARTICULARS</t>
  </si>
  <si>
    <t>PROJECTED YEAR 1</t>
  </si>
  <si>
    <t>PROJECTED YEAR 2</t>
  </si>
  <si>
    <t>OFFICE RENT DEPOSIT</t>
  </si>
  <si>
    <t>GODOWN RENT DEPOSIT</t>
  </si>
  <si>
    <t>VAT PAYABLE</t>
  </si>
  <si>
    <t>UNSECURED LOAN</t>
  </si>
  <si>
    <t>Profit and loss A/c</t>
  </si>
  <si>
    <t>AMT</t>
  </si>
  <si>
    <t>FROM DIRECTOR AMIT JAIN</t>
  </si>
  <si>
    <t>(fixed for 3 years)</t>
  </si>
  <si>
    <t>(10% increase as per contract)</t>
  </si>
  <si>
    <t>(1200 paid for 2 years)</t>
  </si>
  <si>
    <t>(10% wdv on 5000 fixed assets)</t>
  </si>
  <si>
    <t>(</t>
  </si>
  <si>
    <t>15% on 500 Compounded)</t>
  </si>
  <si>
    <t>(200*8% compunded)</t>
  </si>
  <si>
    <t>PROVISION FOR TAX 30%</t>
  </si>
  <si>
    <t>Stock</t>
  </si>
  <si>
    <t>PREPAID MAINTENANCE EXP</t>
  </si>
  <si>
    <t>BANK ACCOUNT</t>
  </si>
  <si>
    <t>Add Current Period      643</t>
  </si>
  <si>
    <t>BALANCE SHEET</t>
  </si>
  <si>
    <t>MIS - MANAGEMENT INFORMATION SYSTEMS</t>
  </si>
  <si>
    <t>MANAGER REPORT</t>
  </si>
  <si>
    <t>PROFIT - BALANCE SHEET</t>
  </si>
  <si>
    <t>PROJECTION BUDJETS</t>
  </si>
  <si>
    <t>RATIO ANLYSIS</t>
  </si>
  <si>
    <t>FUND FLOW/CASH FOLLOW STATEMENT</t>
  </si>
  <si>
    <t>DEBTORS AGING REPORT</t>
  </si>
  <si>
    <t>COST CENTER ACCOUNTING (SEGMENT REPORT OR LOCATION VISE ACCOUNTING OR DEPT. ACCOU</t>
  </si>
  <si>
    <t>HOW TO MAKE PROJECTORS/BUDGETS</t>
  </si>
  <si>
    <t>DISCUSS WITH MANAGEMENT OR SALES DEPT ABOUT FUTURE PLAN</t>
  </si>
  <si>
    <t>(ASK FOR FUTURE SALES, WHEATER NEW MACHINES INSTALLED, WHERE WILL MONEY COME FROM - BANK LOAN ON OWN MONEY)</t>
  </si>
  <si>
    <t>(FIRST MAKE PROJECTED P &amp; L)</t>
  </si>
  <si>
    <t xml:space="preserve">IF SALE DOUBLE </t>
  </si>
  <si>
    <t>A)</t>
  </si>
  <si>
    <t>DIRECT INCOME - DOUBLE</t>
  </si>
  <si>
    <t>B)</t>
  </si>
  <si>
    <t>PURCHASE   -   DOUBLE</t>
  </si>
  <si>
    <t>DIRECT EXP  -  DOUBLE</t>
  </si>
  <si>
    <t>OPENING STOCK - CLOSING STOCK OF LAST YEAR</t>
  </si>
  <si>
    <t>GP  - DOUBLE</t>
  </si>
  <si>
    <t xml:space="preserve">CLOSING STOCK -   BALANCE </t>
  </si>
  <si>
    <t>TREATMENT OF INDIRECT EXPENSES</t>
  </si>
  <si>
    <t>DEP.</t>
  </si>
  <si>
    <t>INTEREST</t>
  </si>
  <si>
    <t>ACTUAL CALCULATION</t>
  </si>
  <si>
    <t>SELLING EXP. IN BASIS OF SALES</t>
  </si>
  <si>
    <t>AGREEMNT MODE - AS PER AGREEMENT</t>
  </si>
  <si>
    <t>WORKING NOTE FOR DEP.</t>
  </si>
  <si>
    <t>PURCHASE MODE</t>
  </si>
  <si>
    <t>DEPRECTION RATE</t>
  </si>
  <si>
    <t>CI VALUES AFTER DEP.</t>
  </si>
  <si>
    <t>CURRENT YEAR</t>
  </si>
  <si>
    <t>DEP. AMOUNT</t>
  </si>
  <si>
    <t>WORKING NOTE FOR INTEREST EXP</t>
  </si>
  <si>
    <t>OPENING VALUE</t>
  </si>
  <si>
    <t>LOAN TAKEN</t>
  </si>
  <si>
    <t>LOAN REPAID</t>
  </si>
  <si>
    <t>CI VALUE</t>
  </si>
  <si>
    <t>INTEREST VALUE</t>
  </si>
  <si>
    <t>INTEREST AMOUNT</t>
  </si>
  <si>
    <t>WORKING NOTE FD INTEREST</t>
  </si>
  <si>
    <t>YEAR</t>
  </si>
  <si>
    <t>OP VALUE</t>
  </si>
  <si>
    <t>FD BROKEN</t>
  </si>
  <si>
    <t>TOTAL AMOUNT</t>
  </si>
  <si>
    <t>HOW TO MAKE PROJECTED B/S</t>
  </si>
  <si>
    <t>1)</t>
  </si>
  <si>
    <t>FIXED ASSETS - FOR DEP CHART (CLOSING VALUE AFTER DEP)</t>
  </si>
  <si>
    <t>2)</t>
  </si>
  <si>
    <t>LOAN -  INTEREST EXPREENCE CHART</t>
  </si>
  <si>
    <t>FD FORM - INT INCOME CHART</t>
  </si>
  <si>
    <t>STOCK - P &amp; L (CLOSING STOCK)</t>
  </si>
  <si>
    <t>DEBOTORS - ON BASIC OF SALES</t>
  </si>
  <si>
    <t>CREDITORS</t>
  </si>
  <si>
    <t>A) FOR BASIS OF PURCHASE</t>
  </si>
  <si>
    <t>B) FOR BASIS OF EXPENSES</t>
  </si>
  <si>
    <t>3)</t>
  </si>
  <si>
    <t>4)</t>
  </si>
  <si>
    <t>5)</t>
  </si>
  <si>
    <t>6)</t>
  </si>
  <si>
    <t>7)</t>
  </si>
  <si>
    <t>CAPITAL - NORMAL SAME</t>
  </si>
  <si>
    <t>8)</t>
  </si>
  <si>
    <t>RESERVE OF SURPLUS OR P &amp; L A/C</t>
  </si>
  <si>
    <t>A) LAST YEAR B/S + CURENT PAT</t>
  </si>
  <si>
    <t>9)</t>
  </si>
  <si>
    <t>PREPAID EXP - NORMALLY REDUCED</t>
  </si>
  <si>
    <t>10)</t>
  </si>
  <si>
    <t>ADVANCE FROM CUSTUMER - ON BASIS OF SALES</t>
  </si>
  <si>
    <t>ADVANCE FROM SUPPLIER - ON BASIS OF PURCHASE</t>
  </si>
  <si>
    <t>11)</t>
  </si>
  <si>
    <t>12)</t>
  </si>
  <si>
    <t xml:space="preserve">EXPENSES PAYABLE </t>
  </si>
  <si>
    <t>A) SALARY PAYABLE - ON BASIS OF SALARY</t>
  </si>
  <si>
    <t>B) FREIGHT PAYABLE - ON BASIS OF FREIGHT</t>
  </si>
  <si>
    <t>13)</t>
  </si>
  <si>
    <t>PROVISION FOR TAX - FROM P &amp; L TAX</t>
  </si>
  <si>
    <t>ADVANCE SALARY</t>
  </si>
  <si>
    <t>14)</t>
  </si>
  <si>
    <t>IT IS NORMALLY ONE TIME</t>
  </si>
  <si>
    <t xml:space="preserve">16) </t>
  </si>
  <si>
    <t>VAT PAYABLE - ON BASIS OF SALE</t>
  </si>
  <si>
    <t>17)</t>
  </si>
  <si>
    <t>VAT RECEIVABLE - ON BASIS OF PURCHASE</t>
  </si>
  <si>
    <t>18)</t>
  </si>
  <si>
    <t>RENT DEPOSIT - NORMALLY SAME</t>
  </si>
  <si>
    <t>ADVANCE FOR CUSTOMER</t>
  </si>
  <si>
    <t>MINT EXP PAID 1200 TO A/C FOR 2 YEARS PASS THE FOR BOTH YEAR</t>
  </si>
  <si>
    <t>ADVANCE TO SUPPLIER</t>
  </si>
  <si>
    <t>MIANT EXP DR 600</t>
  </si>
  <si>
    <t>PREPAID EXP 600</t>
  </si>
  <si>
    <t>TO A A/C 1200</t>
  </si>
  <si>
    <t>A A/C 1200</t>
  </si>
  <si>
    <t>TO BANK A/C 1200</t>
  </si>
  <si>
    <t>YEAR 2</t>
  </si>
  <si>
    <t>MAINT EXP 600</t>
  </si>
  <si>
    <t>TO PUNJAB 600</t>
  </si>
  <si>
    <t>YEAR 3</t>
  </si>
  <si>
    <t>BILL RECEIVED FOR 1200 X 110% X 110%</t>
  </si>
  <si>
    <t>INSTALLATION CHARGES OF RS 500</t>
  </si>
  <si>
    <t>FD TO BE BROKEN</t>
  </si>
  <si>
    <t>CAPITAL INCREASE BY 500</t>
  </si>
  <si>
    <t>BALANCE FROM CASH &amp; BANK</t>
  </si>
  <si>
    <t xml:space="preserve">BY SALE  5000 </t>
  </si>
  <si>
    <t>TOTAL</t>
  </si>
  <si>
    <t xml:space="preserve">SALE 40% INCREASE AS COMPARED TO  PROJECTED YEAR </t>
  </si>
  <si>
    <t>LOAN TO BE TAKEN FROM PNB @ 10% OF 1500 (60% OF COST OF PROJECT) (REPAYBLE IN 3 YEARS)</t>
  </si>
  <si>
    <t>MACHINE TO BE INSTALLED FOR RS 2000</t>
  </si>
  <si>
    <t>FD MADE</t>
  </si>
  <si>
    <t>CL VALUE BEFORE DEP</t>
  </si>
  <si>
    <t>PROFIT AFTER TAX (PAT)</t>
  </si>
  <si>
    <t>SECURED LOAN</t>
  </si>
  <si>
    <t>PNB LOAN</t>
  </si>
  <si>
    <t>Fund Flow Statement</t>
  </si>
  <si>
    <t xml:space="preserve">Long term sources </t>
  </si>
  <si>
    <t>Long term uses</t>
  </si>
  <si>
    <t>Projected year 1</t>
  </si>
  <si>
    <t>Projected year 2</t>
  </si>
  <si>
    <t>long term surplus</t>
  </si>
  <si>
    <t>short term sources</t>
  </si>
  <si>
    <t>short term uses</t>
  </si>
  <si>
    <t>short term deficit</t>
  </si>
  <si>
    <t>net surplus</t>
  </si>
  <si>
    <t>Cash flow statement as per AS 3</t>
  </si>
  <si>
    <t>Cash from oprating activities</t>
  </si>
  <si>
    <t xml:space="preserve">Cash from Investing activities </t>
  </si>
  <si>
    <t>Cash from Financing activities</t>
  </si>
  <si>
    <t>SOURCES OF CASH</t>
  </si>
  <si>
    <t>uses of cash</t>
  </si>
  <si>
    <t>surplus of cash</t>
  </si>
  <si>
    <t>op bal of cash</t>
  </si>
  <si>
    <t>add</t>
  </si>
  <si>
    <t>surplus</t>
  </si>
  <si>
    <t>cl bal of cash</t>
  </si>
  <si>
    <t>S.no.</t>
  </si>
  <si>
    <t>Ratio Name</t>
  </si>
  <si>
    <t>Formula</t>
  </si>
  <si>
    <t>PROFITABILITY RATIOS</t>
  </si>
  <si>
    <t>Gross Profit Ratio</t>
  </si>
  <si>
    <t>Gross Profit / Net Sales</t>
  </si>
  <si>
    <t>Net Profit Ratio</t>
  </si>
  <si>
    <t>Net Profit / Net Sales</t>
  </si>
  <si>
    <t>Operating Profit Ratio</t>
  </si>
  <si>
    <t>Operating  Profit before interest / Net Sales</t>
  </si>
  <si>
    <t>BALANCE SHEET RATIOS</t>
  </si>
  <si>
    <t>Current Ratio</t>
  </si>
  <si>
    <t>CA/CL</t>
  </si>
  <si>
    <t>Quick Ratio / Liquidity Ratio</t>
  </si>
  <si>
    <t>Debt equity Ratio</t>
  </si>
  <si>
    <t>Long term Debts / Share Capital + GR</t>
  </si>
  <si>
    <t>Debt to Total Funds</t>
  </si>
  <si>
    <t>Long term Debts / Long term loans + share holders fund</t>
  </si>
  <si>
    <t>MIXED RATIOS</t>
  </si>
  <si>
    <t>Debtor Turnover Ratio</t>
  </si>
  <si>
    <t>Sales Turnover / Debtors</t>
  </si>
  <si>
    <t>Debtors Collection Period</t>
  </si>
  <si>
    <t>360/ Debtors turnover ratio</t>
  </si>
  <si>
    <t>Purchase +Direct Exp. / Creditors</t>
  </si>
  <si>
    <t>Creditors for Indirect Exp.  Turnover Ratio</t>
  </si>
  <si>
    <t>Indirect Exp. / Creditors</t>
  </si>
  <si>
    <t>Creditors payment period (pur +direct exp)</t>
  </si>
  <si>
    <t>360/CTR</t>
  </si>
  <si>
    <t>Creditors payment period (indirect exp)</t>
  </si>
  <si>
    <t>Inventory Turnover Ratio</t>
  </si>
  <si>
    <t>COGS/Inventory</t>
  </si>
  <si>
    <t>Inventory Holding Period</t>
  </si>
  <si>
    <t>360/ITR</t>
  </si>
  <si>
    <t>RATIOS TO BE CONSIDERED WHILE TAKING BANK LOAN</t>
  </si>
  <si>
    <t>Intrest Coverage Ratio</t>
  </si>
  <si>
    <t>PAT+INT+DEP/ INTREST</t>
  </si>
  <si>
    <t>Debt Service Coverage Ratio</t>
  </si>
  <si>
    <t>PAT+INT+DEP/ INTREST+Principal repayment</t>
  </si>
  <si>
    <t>YEAR 1</t>
  </si>
  <si>
    <t>SALES DOUBLE</t>
  </si>
  <si>
    <t>INDIRECT EXP 10%</t>
  </si>
  <si>
    <t>AMT. OUTSTANDING</t>
  </si>
  <si>
    <t>LOAN FROM PNB</t>
  </si>
  <si>
    <t>1/5 every yr</t>
  </si>
  <si>
    <t>existing loan repaid in 5 yrs</t>
  </si>
  <si>
    <t>1st installment will go in the next year</t>
  </si>
  <si>
    <t>assumption</t>
  </si>
  <si>
    <t>OTHER EXP - ON BASIS 10% INFlatio</t>
  </si>
  <si>
    <t>refer to working notes</t>
  </si>
  <si>
    <t>bad debts, advertiseent ,sales commission</t>
  </si>
  <si>
    <t>v hv assumed fd is broken on 1st day of yr</t>
  </si>
  <si>
    <t xml:space="preserve">Opening balance        4000   </t>
  </si>
  <si>
    <t>CA -(Prepaid Exp. + Debtors +Stock)/CL</t>
  </si>
  <si>
    <t>net sales</t>
  </si>
  <si>
    <t>\</t>
  </si>
  <si>
    <t>`</t>
  </si>
  <si>
    <t>Creditors for direct exp. And Purchases Turnover Ratio creditor turnover ratio</t>
  </si>
  <si>
    <t>PAT</t>
  </si>
  <si>
    <t>INT</t>
  </si>
  <si>
    <t>DEP</t>
  </si>
  <si>
    <t>TOTAL PROFIT</t>
  </si>
  <si>
    <t>INT REPAID</t>
  </si>
  <si>
    <t>DSCR</t>
  </si>
  <si>
    <t>INTEREST COVERAGE RATIO</t>
  </si>
  <si>
    <t>ICR</t>
  </si>
  <si>
    <t>PRINCIPAl</t>
  </si>
  <si>
    <t>TOTAL AMT REPAID</t>
  </si>
  <si>
    <t>DEBT SERVICE COVERAGE RATIO</t>
  </si>
  <si>
    <t>PL</t>
  </si>
  <si>
    <t>WN</t>
  </si>
  <si>
    <t>INT EXP</t>
  </si>
  <si>
    <t>INT REPAID  NOT INCURRED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</si>
</sst>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9" fontId="0" fillId="0" borderId="0" xfId="1" applyFont="1"/>
    <xf numFmtId="1" fontId="0" fillId="0" borderId="0" xfId="0" applyNumberFormat="1"/>
    <xf numFmtId="1" fontId="2" fillId="0" borderId="0" xfId="0" applyNumberFormat="1" applyFont="1"/>
    <xf numFmtId="2" fontId="0" fillId="0" borderId="0" xfId="0" applyNumberFormat="1"/>
    <xf numFmtId="0" fontId="0" fillId="0" borderId="1" xfId="0" applyFont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0" fillId="0" borderId="0" xfId="0" applyAlignment="1">
      <alignment horizontal="left"/>
    </xf>
    <xf numFmtId="0" fontId="0" fillId="0" borderId="1" xfId="0" applyBorder="1"/>
    <xf numFmtId="9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2" fontId="0" fillId="0" borderId="1" xfId="0" applyNumberFormat="1" applyBorder="1"/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ont="1" applyFill="1" applyBorder="1"/>
    <xf numFmtId="0" fontId="4" fillId="0" borderId="1" xfId="0" applyFont="1" applyBorder="1"/>
    <xf numFmtId="0" fontId="2" fillId="0" borderId="1" xfId="0" applyFont="1" applyFill="1" applyBorder="1" applyAlignment="1">
      <alignment wrapText="1"/>
    </xf>
    <xf numFmtId="2" fontId="0" fillId="0" borderId="1" xfId="0" applyNumberFormat="1" applyFont="1" applyBorder="1"/>
    <xf numFmtId="0" fontId="5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0" fillId="0" borderId="3" xfId="0" applyBorder="1"/>
    <xf numFmtId="0" fontId="7" fillId="0" borderId="0" xfId="0" applyFont="1"/>
    <xf numFmtId="0" fontId="8" fillId="0" borderId="0" xfId="0" applyFont="1"/>
    <xf numFmtId="2" fontId="2" fillId="0" borderId="0" xfId="0" applyNumberFormat="1" applyFont="1"/>
    <xf numFmtId="0" fontId="0" fillId="2" borderId="0" xfId="0" applyFill="1"/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0" fontId="0" fillId="0" borderId="0" xfId="1" applyNumberFormat="1" applyFont="1"/>
    <xf numFmtId="2" fontId="0" fillId="0" borderId="0" xfId="1" applyNumberFormat="1" applyFont="1"/>
    <xf numFmtId="1" fontId="0" fillId="0" borderId="1" xfId="0" applyNumberFormat="1" applyBorder="1"/>
    <xf numFmtId="2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wrapText="1"/>
    </xf>
    <xf numFmtId="0" fontId="2" fillId="0" borderId="0" xfId="0" applyFont="1" applyFill="1"/>
    <xf numFmtId="1" fontId="0" fillId="0" borderId="1" xfId="0" applyNumberForma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2" fontId="2" fillId="0" borderId="1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ont="1" applyFill="1" applyBorder="1"/>
    <xf numFmtId="0" fontId="0" fillId="3" borderId="1" xfId="0" applyFont="1" applyFill="1" applyBorder="1"/>
    <xf numFmtId="0" fontId="0" fillId="0" borderId="0" xfId="0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59"/>
  <sheetViews>
    <sheetView topLeftCell="A34" zoomScale="99" zoomScaleNormal="99" workbookViewId="0">
      <selection activeCell="E37" sqref="E37"/>
    </sheetView>
  </sheetViews>
  <sheetFormatPr defaultRowHeight="14.4" x14ac:dyDescent="0.3"/>
  <cols>
    <col min="7" max="7" width="11" bestFit="1" customWidth="1"/>
    <col min="11" max="11" width="15.44140625" bestFit="1" customWidth="1"/>
    <col min="12" max="12" width="20.44140625" bestFit="1" customWidth="1"/>
    <col min="13" max="13" width="29.109375" bestFit="1" customWidth="1"/>
  </cols>
  <sheetData>
    <row r="1" spans="3:6" x14ac:dyDescent="0.3">
      <c r="C1" t="s">
        <v>64</v>
      </c>
    </row>
    <row r="3" spans="3:6" x14ac:dyDescent="0.3">
      <c r="C3" t="s">
        <v>65</v>
      </c>
    </row>
    <row r="4" spans="3:6" x14ac:dyDescent="0.3">
      <c r="C4">
        <v>1</v>
      </c>
      <c r="D4" s="33" t="s">
        <v>66</v>
      </c>
      <c r="E4" s="33"/>
      <c r="F4" s="33"/>
    </row>
    <row r="5" spans="3:6" x14ac:dyDescent="0.3">
      <c r="C5">
        <v>2</v>
      </c>
      <c r="D5" t="s">
        <v>67</v>
      </c>
    </row>
    <row r="6" spans="3:6" x14ac:dyDescent="0.3">
      <c r="C6">
        <v>3</v>
      </c>
      <c r="D6" t="s">
        <v>68</v>
      </c>
    </row>
    <row r="7" spans="3:6" x14ac:dyDescent="0.3">
      <c r="C7">
        <v>4</v>
      </c>
      <c r="D7" t="s">
        <v>69</v>
      </c>
    </row>
    <row r="8" spans="3:6" x14ac:dyDescent="0.3">
      <c r="C8">
        <v>5</v>
      </c>
      <c r="D8" s="33" t="s">
        <v>70</v>
      </c>
    </row>
    <row r="9" spans="3:6" x14ac:dyDescent="0.3">
      <c r="C9">
        <v>6</v>
      </c>
      <c r="D9" s="33" t="s">
        <v>71</v>
      </c>
    </row>
    <row r="12" spans="3:6" x14ac:dyDescent="0.3">
      <c r="C12" s="1" t="s">
        <v>72</v>
      </c>
    </row>
    <row r="13" spans="3:6" x14ac:dyDescent="0.3">
      <c r="C13" s="14">
        <v>2</v>
      </c>
      <c r="D13" t="s">
        <v>73</v>
      </c>
    </row>
    <row r="14" spans="3:6" x14ac:dyDescent="0.3">
      <c r="D14" t="s">
        <v>74</v>
      </c>
    </row>
    <row r="15" spans="3:6" x14ac:dyDescent="0.3">
      <c r="D15" t="s">
        <v>75</v>
      </c>
    </row>
    <row r="16" spans="3:6" x14ac:dyDescent="0.3">
      <c r="D16" t="s">
        <v>76</v>
      </c>
    </row>
    <row r="17" spans="3:7" x14ac:dyDescent="0.3">
      <c r="C17" t="s">
        <v>77</v>
      </c>
      <c r="D17" t="s">
        <v>78</v>
      </c>
    </row>
    <row r="18" spans="3:7" x14ac:dyDescent="0.3">
      <c r="C18" t="s">
        <v>79</v>
      </c>
      <c r="D18" t="s">
        <v>80</v>
      </c>
    </row>
    <row r="19" spans="3:7" x14ac:dyDescent="0.3">
      <c r="D19" t="s">
        <v>81</v>
      </c>
    </row>
    <row r="20" spans="3:7" x14ac:dyDescent="0.3">
      <c r="D20" t="s">
        <v>82</v>
      </c>
    </row>
    <row r="21" spans="3:7" x14ac:dyDescent="0.3">
      <c r="D21" t="s">
        <v>83</v>
      </c>
    </row>
    <row r="22" spans="3:7" x14ac:dyDescent="0.3">
      <c r="D22" t="s">
        <v>84</v>
      </c>
    </row>
    <row r="25" spans="3:7" x14ac:dyDescent="0.3">
      <c r="C25" s="1" t="s">
        <v>85</v>
      </c>
    </row>
    <row r="26" spans="3:7" x14ac:dyDescent="0.3">
      <c r="C26" t="s">
        <v>86</v>
      </c>
      <c r="D26" t="s">
        <v>88</v>
      </c>
      <c r="G26" t="s">
        <v>246</v>
      </c>
    </row>
    <row r="27" spans="3:7" x14ac:dyDescent="0.3">
      <c r="C27" t="s">
        <v>87</v>
      </c>
      <c r="D27" t="s">
        <v>88</v>
      </c>
      <c r="G27" t="s">
        <v>246</v>
      </c>
    </row>
    <row r="28" spans="3:7" x14ac:dyDescent="0.3">
      <c r="C28" t="s">
        <v>89</v>
      </c>
      <c r="G28" t="s">
        <v>247</v>
      </c>
    </row>
    <row r="29" spans="3:7" x14ac:dyDescent="0.3">
      <c r="C29" t="s">
        <v>90</v>
      </c>
    </row>
    <row r="30" spans="3:7" x14ac:dyDescent="0.3">
      <c r="C30" t="s">
        <v>245</v>
      </c>
    </row>
    <row r="34" spans="2:4" x14ac:dyDescent="0.3">
      <c r="B34" t="s">
        <v>109</v>
      </c>
    </row>
    <row r="35" spans="2:4" x14ac:dyDescent="0.3">
      <c r="B35" t="s">
        <v>110</v>
      </c>
      <c r="C35" t="s">
        <v>111</v>
      </c>
    </row>
    <row r="36" spans="2:4" x14ac:dyDescent="0.3">
      <c r="B36" t="s">
        <v>112</v>
      </c>
      <c r="C36" t="s">
        <v>113</v>
      </c>
    </row>
    <row r="37" spans="2:4" x14ac:dyDescent="0.3">
      <c r="B37" t="s">
        <v>120</v>
      </c>
      <c r="C37" t="s">
        <v>114</v>
      </c>
    </row>
    <row r="38" spans="2:4" x14ac:dyDescent="0.3">
      <c r="B38" t="s">
        <v>121</v>
      </c>
      <c r="C38" t="s">
        <v>115</v>
      </c>
    </row>
    <row r="39" spans="2:4" x14ac:dyDescent="0.3">
      <c r="B39" t="s">
        <v>122</v>
      </c>
      <c r="C39" t="s">
        <v>116</v>
      </c>
    </row>
    <row r="40" spans="2:4" x14ac:dyDescent="0.3">
      <c r="B40" t="s">
        <v>123</v>
      </c>
      <c r="C40" t="s">
        <v>117</v>
      </c>
    </row>
    <row r="41" spans="2:4" x14ac:dyDescent="0.3">
      <c r="C41" t="s">
        <v>118</v>
      </c>
    </row>
    <row r="42" spans="2:4" x14ac:dyDescent="0.3">
      <c r="C42" t="s">
        <v>119</v>
      </c>
    </row>
    <row r="43" spans="2:4" x14ac:dyDescent="0.3">
      <c r="B43" t="s">
        <v>124</v>
      </c>
      <c r="C43" t="s">
        <v>125</v>
      </c>
    </row>
    <row r="44" spans="2:4" x14ac:dyDescent="0.3">
      <c r="B44" t="s">
        <v>126</v>
      </c>
      <c r="C44" t="s">
        <v>127</v>
      </c>
    </row>
    <row r="45" spans="2:4" x14ac:dyDescent="0.3">
      <c r="C45" t="s">
        <v>128</v>
      </c>
    </row>
    <row r="46" spans="2:4" x14ac:dyDescent="0.3">
      <c r="B46" t="s">
        <v>129</v>
      </c>
      <c r="C46" t="s">
        <v>130</v>
      </c>
    </row>
    <row r="47" spans="2:4" x14ac:dyDescent="0.3">
      <c r="B47" t="s">
        <v>131</v>
      </c>
      <c r="C47" t="s">
        <v>132</v>
      </c>
    </row>
    <row r="48" spans="2:4" x14ac:dyDescent="0.3">
      <c r="B48" t="s">
        <v>134</v>
      </c>
      <c r="C48" t="s">
        <v>133</v>
      </c>
    </row>
    <row r="49" spans="2:3" x14ac:dyDescent="0.3">
      <c r="B49" t="s">
        <v>135</v>
      </c>
      <c r="C49" t="s">
        <v>136</v>
      </c>
    </row>
    <row r="50" spans="2:3" x14ac:dyDescent="0.3">
      <c r="C50" t="s">
        <v>137</v>
      </c>
    </row>
    <row r="51" spans="2:3" x14ac:dyDescent="0.3">
      <c r="C51" t="s">
        <v>138</v>
      </c>
    </row>
    <row r="52" spans="2:3" x14ac:dyDescent="0.3">
      <c r="B52" t="s">
        <v>139</v>
      </c>
      <c r="C52" t="s">
        <v>140</v>
      </c>
    </row>
    <row r="53" spans="2:3" x14ac:dyDescent="0.3">
      <c r="B53" t="s">
        <v>142</v>
      </c>
      <c r="C53" t="s">
        <v>143</v>
      </c>
    </row>
    <row r="54" spans="2:3" x14ac:dyDescent="0.3">
      <c r="B54" t="s">
        <v>144</v>
      </c>
      <c r="C54" t="s">
        <v>145</v>
      </c>
    </row>
    <row r="55" spans="2:3" x14ac:dyDescent="0.3">
      <c r="B55" t="s">
        <v>146</v>
      </c>
      <c r="C55" t="s">
        <v>147</v>
      </c>
    </row>
    <row r="56" spans="2:3" x14ac:dyDescent="0.3">
      <c r="B56" t="s">
        <v>148</v>
      </c>
      <c r="C56" t="s">
        <v>149</v>
      </c>
    </row>
    <row r="58" spans="2:3" x14ac:dyDescent="0.3">
      <c r="C58" t="s">
        <v>161</v>
      </c>
    </row>
    <row r="59" spans="2:3" x14ac:dyDescent="0.3">
      <c r="C59" t="s">
        <v>162</v>
      </c>
    </row>
  </sheetData>
  <pageMargins left="0.7" right="0.7" top="0.75" bottom="0.75" header="0.3" footer="0.3"/>
  <pageSetup paperSize="0" orientation="portrait" horizontalDpi="0" verticalDpi="0" copies="0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26"/>
  <sheetViews>
    <sheetView workbookViewId="0">
      <selection activeCell="I21" sqref="I21"/>
    </sheetView>
  </sheetViews>
  <sheetFormatPr defaultRowHeight="14.4" x14ac:dyDescent="0.3"/>
  <sheetData>
    <row r="3" spans="3:4" ht="33.6" x14ac:dyDescent="0.65">
      <c r="D3" s="30" t="s">
        <v>187</v>
      </c>
    </row>
    <row r="5" spans="3:4" ht="21" x14ac:dyDescent="0.4">
      <c r="C5" s="31" t="s">
        <v>188</v>
      </c>
    </row>
    <row r="15" spans="3:4" ht="21" x14ac:dyDescent="0.4">
      <c r="C15" s="31" t="s">
        <v>189</v>
      </c>
    </row>
    <row r="26" spans="3:3" ht="21" x14ac:dyDescent="0.4">
      <c r="C26" s="31" t="s">
        <v>190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7"/>
  <sheetViews>
    <sheetView workbookViewId="0">
      <selection activeCell="B27" sqref="B27"/>
    </sheetView>
  </sheetViews>
  <sheetFormatPr defaultRowHeight="14.4" x14ac:dyDescent="0.3"/>
  <sheetData>
    <row r="3" spans="2:16" x14ac:dyDescent="0.3">
      <c r="B3" s="1" t="s">
        <v>236</v>
      </c>
    </row>
    <row r="4" spans="2:16" x14ac:dyDescent="0.3">
      <c r="B4" t="s">
        <v>237</v>
      </c>
    </row>
    <row r="5" spans="2:16" x14ac:dyDescent="0.3">
      <c r="B5" t="s">
        <v>238</v>
      </c>
    </row>
    <row r="6" spans="2:16" x14ac:dyDescent="0.3">
      <c r="B6" t="s">
        <v>242</v>
      </c>
      <c r="E6" t="s">
        <v>241</v>
      </c>
    </row>
    <row r="7" spans="2:16" x14ac:dyDescent="0.3">
      <c r="O7">
        <f>2500*60%</f>
        <v>1500</v>
      </c>
    </row>
    <row r="10" spans="2:16" x14ac:dyDescent="0.3">
      <c r="B10" s="1" t="s">
        <v>158</v>
      </c>
    </row>
    <row r="11" spans="2:16" x14ac:dyDescent="0.3">
      <c r="B11" t="s">
        <v>169</v>
      </c>
    </row>
    <row r="12" spans="2:16" x14ac:dyDescent="0.3">
      <c r="B12" t="s">
        <v>171</v>
      </c>
    </row>
    <row r="13" spans="2:16" x14ac:dyDescent="0.3">
      <c r="B13" t="s">
        <v>163</v>
      </c>
    </row>
    <row r="14" spans="2:16" x14ac:dyDescent="0.3">
      <c r="B14" t="s">
        <v>170</v>
      </c>
      <c r="L14" t="s">
        <v>243</v>
      </c>
      <c r="P14" t="s">
        <v>244</v>
      </c>
    </row>
    <row r="15" spans="2:16" x14ac:dyDescent="0.3">
      <c r="B15" t="s">
        <v>164</v>
      </c>
      <c r="E15" t="s">
        <v>248</v>
      </c>
    </row>
    <row r="16" spans="2:16" x14ac:dyDescent="0.3">
      <c r="B16" t="s">
        <v>165</v>
      </c>
    </row>
    <row r="17" spans="2:2" x14ac:dyDescent="0.3">
      <c r="B17" t="s">
        <v>166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3"/>
  <sheetViews>
    <sheetView topLeftCell="B8" workbookViewId="0">
      <selection activeCell="D20" sqref="D20"/>
    </sheetView>
  </sheetViews>
  <sheetFormatPr defaultRowHeight="14.4" x14ac:dyDescent="0.3"/>
  <cols>
    <col min="2" max="2" width="32.88671875" customWidth="1"/>
    <col min="3" max="3" width="12.109375" customWidth="1"/>
    <col min="4" max="4" width="12.88671875" customWidth="1"/>
    <col min="5" max="5" width="11.6640625" customWidth="1"/>
    <col min="6" max="6" width="23.88671875" customWidth="1"/>
    <col min="7" max="7" width="13.109375" customWidth="1"/>
    <col min="8" max="8" width="12.88671875" customWidth="1"/>
    <col min="9" max="9" width="12.44140625" customWidth="1"/>
    <col min="10" max="10" width="7.44140625" customWidth="1"/>
    <col min="11" max="11" width="13.109375" customWidth="1"/>
  </cols>
  <sheetData>
    <row r="1" spans="2:14" x14ac:dyDescent="0.3">
      <c r="B1" s="49" t="s">
        <v>0</v>
      </c>
      <c r="C1" s="49"/>
      <c r="D1" s="49"/>
      <c r="E1" s="49"/>
      <c r="F1" s="49"/>
      <c r="G1" s="49"/>
    </row>
    <row r="3" spans="2:14" ht="35.25" customHeight="1" x14ac:dyDescent="0.3">
      <c r="B3" s="8" t="s">
        <v>41</v>
      </c>
      <c r="C3" s="8" t="s">
        <v>11</v>
      </c>
      <c r="D3" s="24" t="s">
        <v>42</v>
      </c>
      <c r="E3" s="24" t="s">
        <v>43</v>
      </c>
      <c r="F3" s="8"/>
      <c r="G3" s="8" t="s">
        <v>11</v>
      </c>
      <c r="H3" s="24" t="s">
        <v>42</v>
      </c>
      <c r="I3" s="24" t="s">
        <v>43</v>
      </c>
    </row>
    <row r="4" spans="2:14" x14ac:dyDescent="0.3">
      <c r="B4" s="45" t="s">
        <v>1</v>
      </c>
      <c r="C4" s="45">
        <v>1500</v>
      </c>
      <c r="D4" s="46">
        <f>G7</f>
        <v>2000</v>
      </c>
      <c r="E4" s="46">
        <f>H7</f>
        <v>3000</v>
      </c>
      <c r="F4" s="47" t="s">
        <v>6</v>
      </c>
      <c r="G4" s="45">
        <v>5000</v>
      </c>
      <c r="H4" s="46">
        <f>G4*2</f>
        <v>10000</v>
      </c>
      <c r="I4" s="46">
        <f>H4+40%*H4</f>
        <v>14000</v>
      </c>
      <c r="J4">
        <f>C9</f>
        <v>3000</v>
      </c>
      <c r="K4">
        <f>D9</f>
        <v>6000</v>
      </c>
      <c r="L4">
        <f>E9</f>
        <v>8400</v>
      </c>
    </row>
    <row r="5" spans="2:14" x14ac:dyDescent="0.3">
      <c r="B5" s="45" t="s">
        <v>2</v>
      </c>
      <c r="C5" s="45">
        <v>3000</v>
      </c>
      <c r="D5" s="46">
        <f>C5*2</f>
        <v>6000</v>
      </c>
      <c r="E5" s="46">
        <f>D5+D5*40%</f>
        <v>8400</v>
      </c>
      <c r="F5" s="47" t="s">
        <v>7</v>
      </c>
      <c r="G5" s="45"/>
      <c r="H5" s="46"/>
      <c r="I5" s="46"/>
      <c r="J5">
        <f>G4+G6</f>
        <v>6000</v>
      </c>
      <c r="K5">
        <f>H4+H6</f>
        <v>12000</v>
      </c>
      <c r="L5">
        <f>I4+I6</f>
        <v>16800</v>
      </c>
    </row>
    <row r="6" spans="2:14" x14ac:dyDescent="0.3">
      <c r="B6" s="47" t="s">
        <v>3</v>
      </c>
      <c r="C6" s="45"/>
      <c r="D6" s="46"/>
      <c r="E6" s="46"/>
      <c r="F6" s="45" t="s">
        <v>8</v>
      </c>
      <c r="G6" s="45">
        <v>1000</v>
      </c>
      <c r="H6" s="46">
        <f>G6*2</f>
        <v>2000</v>
      </c>
      <c r="I6" s="46">
        <f>H6+40%*H6</f>
        <v>2800</v>
      </c>
      <c r="J6" s="2">
        <f>J4/J5</f>
        <v>0.5</v>
      </c>
      <c r="K6" s="2">
        <f>K4/K5</f>
        <v>0.5</v>
      </c>
      <c r="L6" s="2">
        <f>L4/L5</f>
        <v>0.5</v>
      </c>
    </row>
    <row r="7" spans="2:14" x14ac:dyDescent="0.3">
      <c r="B7" s="45" t="s">
        <v>4</v>
      </c>
      <c r="C7" s="45">
        <v>200</v>
      </c>
      <c r="D7" s="46">
        <f>C7*2</f>
        <v>400</v>
      </c>
      <c r="E7" s="46">
        <f>D7+40%*D7</f>
        <v>560</v>
      </c>
      <c r="F7" s="45" t="s">
        <v>9</v>
      </c>
      <c r="G7" s="45">
        <v>2000</v>
      </c>
      <c r="H7" s="46">
        <f>H10-H4-H6</f>
        <v>3000</v>
      </c>
      <c r="I7" s="46">
        <f>I10-I4-I6</f>
        <v>4400</v>
      </c>
    </row>
    <row r="8" spans="2:14" x14ac:dyDescent="0.3">
      <c r="B8" s="45" t="s">
        <v>5</v>
      </c>
      <c r="C8" s="45">
        <v>300</v>
      </c>
      <c r="D8" s="46">
        <f>C8*2</f>
        <v>600</v>
      </c>
      <c r="E8" s="46">
        <f>D8+40%*D8</f>
        <v>840</v>
      </c>
      <c r="F8" s="45"/>
      <c r="G8" s="45"/>
      <c r="H8" s="46"/>
      <c r="I8" s="46"/>
      <c r="J8">
        <f>C26</f>
        <v>7931</v>
      </c>
      <c r="K8" s="3" t="e">
        <f>#REF!</f>
        <v>#REF!</v>
      </c>
      <c r="L8" s="3">
        <f>E26</f>
        <v>5287.9</v>
      </c>
    </row>
    <row r="9" spans="2:14" x14ac:dyDescent="0.3">
      <c r="B9" s="47" t="s">
        <v>10</v>
      </c>
      <c r="C9" s="45">
        <f>G10-SUM(C4:C8)</f>
        <v>3000</v>
      </c>
      <c r="D9" s="46">
        <f>C9*2</f>
        <v>6000</v>
      </c>
      <c r="E9" s="46">
        <f>D9+40%*D9</f>
        <v>8400</v>
      </c>
      <c r="F9" s="45"/>
      <c r="G9" s="45"/>
      <c r="H9" s="46"/>
      <c r="I9" s="46"/>
      <c r="J9">
        <f>G4+G6</f>
        <v>6000</v>
      </c>
      <c r="K9">
        <f>H4+H6</f>
        <v>12000</v>
      </c>
      <c r="L9">
        <f>I4+I6</f>
        <v>16800</v>
      </c>
    </row>
    <row r="10" spans="2:14" x14ac:dyDescent="0.3">
      <c r="B10" s="7"/>
      <c r="C10" s="8">
        <f>SUM(C4:C9)</f>
        <v>8000</v>
      </c>
      <c r="D10" s="8">
        <f>SUM(D4:D9)</f>
        <v>15000</v>
      </c>
      <c r="E10" s="8">
        <f>SUM(E4:E9)</f>
        <v>21200</v>
      </c>
      <c r="F10" s="8"/>
      <c r="G10" s="8">
        <f>SUM(G4:G9)</f>
        <v>8000</v>
      </c>
      <c r="H10" s="8">
        <f>D10</f>
        <v>15000</v>
      </c>
      <c r="I10" s="24">
        <f>E10</f>
        <v>21200</v>
      </c>
      <c r="J10" s="2">
        <f>J8/J9</f>
        <v>1.3218333333333334</v>
      </c>
      <c r="K10" s="2" t="e">
        <f>K8/K9</f>
        <v>#REF!</v>
      </c>
      <c r="L10" s="2">
        <f>L8/L9</f>
        <v>0.31475595238095239</v>
      </c>
    </row>
    <row r="11" spans="2:14" x14ac:dyDescent="0.3">
      <c r="B11" s="7" t="s">
        <v>12</v>
      </c>
      <c r="C11" s="8">
        <v>100</v>
      </c>
      <c r="D11" s="24">
        <f>C11+10%*C11</f>
        <v>110</v>
      </c>
      <c r="E11" s="24">
        <f>D11+10%*D11</f>
        <v>121</v>
      </c>
      <c r="F11" s="8" t="str">
        <f>B9</f>
        <v>GROSS PROFIT</v>
      </c>
      <c r="G11" s="8">
        <f>C9</f>
        <v>3000</v>
      </c>
      <c r="H11" s="24">
        <f>G11*2</f>
        <v>6000</v>
      </c>
      <c r="I11" s="9">
        <f>E9</f>
        <v>8400</v>
      </c>
    </row>
    <row r="12" spans="2:14" x14ac:dyDescent="0.3">
      <c r="B12" s="7" t="s">
        <v>14</v>
      </c>
      <c r="C12" s="9">
        <v>200</v>
      </c>
      <c r="D12" s="24">
        <f>C12</f>
        <v>200</v>
      </c>
      <c r="E12" s="24">
        <f>D12</f>
        <v>200</v>
      </c>
      <c r="F12" s="9" t="s">
        <v>21</v>
      </c>
      <c r="G12" s="7">
        <f>200*8%</f>
        <v>16</v>
      </c>
      <c r="H12" s="40">
        <f>'W NOTES'!G21</f>
        <v>17.28</v>
      </c>
      <c r="I12" s="43">
        <f>'W NOTES'!G22</f>
        <v>0</v>
      </c>
    </row>
    <row r="13" spans="2:14" x14ac:dyDescent="0.3">
      <c r="B13" s="12" t="s">
        <v>51</v>
      </c>
      <c r="C13" s="9"/>
      <c r="D13" s="24"/>
      <c r="E13" s="24"/>
      <c r="F13" s="9" t="s">
        <v>57</v>
      </c>
      <c r="G13" s="7"/>
      <c r="H13" s="43"/>
      <c r="I13" s="43"/>
    </row>
    <row r="14" spans="2:14" x14ac:dyDescent="0.3">
      <c r="B14" s="7" t="s">
        <v>13</v>
      </c>
      <c r="C14" s="9">
        <v>300</v>
      </c>
      <c r="D14" s="24">
        <f>C14+10%*C14</f>
        <v>330</v>
      </c>
      <c r="E14" s="24">
        <f>330*110%</f>
        <v>363.00000000000006</v>
      </c>
      <c r="F14" s="7"/>
      <c r="G14" s="7"/>
      <c r="H14" s="9"/>
      <c r="I14" s="9"/>
    </row>
    <row r="15" spans="2:14" x14ac:dyDescent="0.3">
      <c r="B15" s="12" t="s">
        <v>52</v>
      </c>
      <c r="C15" s="9"/>
      <c r="D15" s="24"/>
      <c r="E15" s="24"/>
      <c r="F15" s="7"/>
      <c r="G15" s="7"/>
      <c r="H15" s="9"/>
      <c r="I15" s="9"/>
    </row>
    <row r="16" spans="2:14" x14ac:dyDescent="0.3">
      <c r="B16" s="7" t="s">
        <v>15</v>
      </c>
      <c r="C16" s="9">
        <v>200</v>
      </c>
      <c r="D16" s="24">
        <f>C16*2</f>
        <v>400</v>
      </c>
      <c r="E16" s="24">
        <f>D16*140%</f>
        <v>560</v>
      </c>
      <c r="F16" s="7"/>
      <c r="G16" s="7">
        <f>(PL!D5+PL!D7+PL!D8)</f>
        <v>7000</v>
      </c>
      <c r="H16" s="9"/>
      <c r="I16" s="9"/>
      <c r="L16">
        <f>SUM(C11:C25)-C20-C23-C16</f>
        <v>1310</v>
      </c>
      <c r="M16" s="5">
        <f>SUM(D11:D25)-D20-D23-D16</f>
        <v>1451</v>
      </c>
      <c r="N16" s="5">
        <f>SUM(E11:E25)-E20-E23-E16</f>
        <v>1702.1</v>
      </c>
    </row>
    <row r="17" spans="1:13" x14ac:dyDescent="0.3">
      <c r="B17" s="7" t="s">
        <v>16</v>
      </c>
      <c r="C17" s="9">
        <v>100</v>
      </c>
      <c r="D17" s="24">
        <f>C17*2</f>
        <v>200</v>
      </c>
      <c r="E17" s="24">
        <f>D17*140%</f>
        <v>280</v>
      </c>
      <c r="F17" s="7"/>
      <c r="G17" s="7"/>
      <c r="H17" s="9"/>
      <c r="I17" s="9"/>
    </row>
    <row r="18" spans="1:13" x14ac:dyDescent="0.3">
      <c r="B18" s="7" t="s">
        <v>17</v>
      </c>
      <c r="C18" s="9">
        <v>600</v>
      </c>
      <c r="D18" s="24">
        <f>1200-600</f>
        <v>600</v>
      </c>
      <c r="E18" s="24">
        <f>D18*110%*110%</f>
        <v>726.00000000000011</v>
      </c>
      <c r="F18" s="7"/>
      <c r="G18" s="7"/>
      <c r="H18" s="9"/>
      <c r="I18" s="9"/>
    </row>
    <row r="19" spans="1:13" x14ac:dyDescent="0.3">
      <c r="B19" s="9" t="s">
        <v>53</v>
      </c>
      <c r="C19" s="9"/>
      <c r="D19" s="9"/>
      <c r="E19" s="9"/>
      <c r="F19" s="7"/>
      <c r="G19" s="7"/>
      <c r="H19" s="9"/>
      <c r="I19" s="9"/>
    </row>
    <row r="20" spans="1:13" x14ac:dyDescent="0.3">
      <c r="B20" s="9" t="s">
        <v>18</v>
      </c>
      <c r="C20" s="9">
        <f>5000*10%</f>
        <v>500</v>
      </c>
      <c r="D20" s="40">
        <f>'W NOTES'!H6</f>
        <v>450</v>
      </c>
      <c r="E20" s="40">
        <f>'W NOTES'!H7</f>
        <v>655</v>
      </c>
      <c r="F20" s="7"/>
      <c r="G20" s="7"/>
      <c r="H20" s="9"/>
      <c r="I20" s="9"/>
    </row>
    <row r="21" spans="1:13" x14ac:dyDescent="0.3">
      <c r="B21" s="44" t="s">
        <v>54</v>
      </c>
      <c r="C21" s="9"/>
      <c r="D21" s="24"/>
      <c r="E21" s="9"/>
      <c r="F21" s="7"/>
      <c r="G21" s="7"/>
      <c r="H21" s="9"/>
      <c r="I21" s="9"/>
    </row>
    <row r="22" spans="1:13" x14ac:dyDescent="0.3">
      <c r="B22" s="9" t="s">
        <v>23</v>
      </c>
      <c r="C22" s="9"/>
      <c r="D22" s="24"/>
      <c r="E22" s="9"/>
      <c r="F22" s="7"/>
      <c r="G22" s="7"/>
      <c r="H22" s="9"/>
      <c r="I22" s="9"/>
    </row>
    <row r="23" spans="1:13" x14ac:dyDescent="0.3">
      <c r="B23" s="9" t="s">
        <v>56</v>
      </c>
      <c r="C23" s="9">
        <f>500*15%</f>
        <v>75</v>
      </c>
      <c r="D23" s="40">
        <f>'W NOTES'!I13</f>
        <v>60</v>
      </c>
      <c r="E23" s="40">
        <f>'W NOTES'!I14+'W NOTES'!I15</f>
        <v>195</v>
      </c>
      <c r="F23" s="7"/>
      <c r="G23" s="7"/>
      <c r="H23" s="9"/>
      <c r="I23" s="9"/>
    </row>
    <row r="24" spans="1:13" x14ac:dyDescent="0.3">
      <c r="A24" t="s">
        <v>55</v>
      </c>
      <c r="C24" s="9" t="s">
        <v>252</v>
      </c>
      <c r="D24" s="41"/>
      <c r="E24" s="43"/>
      <c r="F24" s="7"/>
      <c r="G24" s="7"/>
      <c r="H24" s="9"/>
      <c r="I24" s="9"/>
    </row>
    <row r="25" spans="1:13" x14ac:dyDescent="0.3">
      <c r="B25" s="7" t="s">
        <v>19</v>
      </c>
      <c r="C25" s="9">
        <v>10</v>
      </c>
      <c r="D25" s="24">
        <f>C25+10%*C25</f>
        <v>11</v>
      </c>
      <c r="E25" s="24">
        <f>D25+10%*D25</f>
        <v>12.1</v>
      </c>
      <c r="F25" s="7"/>
      <c r="G25" s="7"/>
      <c r="H25" s="9"/>
      <c r="I25" s="9"/>
      <c r="K25" s="1" t="s">
        <v>251</v>
      </c>
      <c r="L25">
        <f>H4+H6</f>
        <v>12000</v>
      </c>
      <c r="M25">
        <f>I4+I6</f>
        <v>16800</v>
      </c>
    </row>
    <row r="26" spans="1:13" x14ac:dyDescent="0.3">
      <c r="B26" s="7" t="s">
        <v>20</v>
      </c>
      <c r="C26" s="7">
        <f>G27-SUM(C11:C25)</f>
        <v>7931</v>
      </c>
      <c r="D26" s="7">
        <f>H27-SUM(D11:D25)</f>
        <v>3656.2799999999997</v>
      </c>
      <c r="E26" s="7">
        <f>I27-SUM(E11:E25)</f>
        <v>5287.9</v>
      </c>
      <c r="F26" s="7"/>
      <c r="G26" s="7"/>
      <c r="H26" s="9"/>
      <c r="I26" s="9"/>
    </row>
    <row r="27" spans="1:13" x14ac:dyDescent="0.3">
      <c r="B27" s="7"/>
      <c r="C27" s="8">
        <f>SUM(C11:C26)</f>
        <v>10016</v>
      </c>
      <c r="D27" s="42">
        <f>H27</f>
        <v>6017.28</v>
      </c>
      <c r="E27" s="24">
        <f>I27</f>
        <v>8400</v>
      </c>
      <c r="F27" s="7"/>
      <c r="G27" s="8">
        <f>SUM(G11:G26)</f>
        <v>10016</v>
      </c>
      <c r="H27" s="8">
        <f>SUM(H11:H26)</f>
        <v>6017.28</v>
      </c>
      <c r="I27" s="8">
        <f>SUM(I11:I26)</f>
        <v>8400</v>
      </c>
    </row>
    <row r="28" spans="1:13" x14ac:dyDescent="0.3">
      <c r="B28" s="7" t="s">
        <v>58</v>
      </c>
      <c r="C28" s="10">
        <f>C26*30.9%</f>
        <v>2450.6790000000001</v>
      </c>
      <c r="D28" s="10">
        <f>D26*30.9%</f>
        <v>1129.79052</v>
      </c>
      <c r="E28" s="10">
        <f t="shared" ref="E28" si="0">E26*30.9%</f>
        <v>1633.9610999999998</v>
      </c>
      <c r="F28" s="7" t="str">
        <f>B26</f>
        <v>NET PROFIT</v>
      </c>
      <c r="G28" s="7">
        <f>C26</f>
        <v>7931</v>
      </c>
      <c r="H28" s="7">
        <f t="shared" ref="H28:I28" si="1">D26</f>
        <v>3656.2799999999997</v>
      </c>
      <c r="I28" s="7">
        <f t="shared" si="1"/>
        <v>5287.9</v>
      </c>
    </row>
    <row r="29" spans="1:13" x14ac:dyDescent="0.3">
      <c r="B29" s="7"/>
      <c r="C29" s="7"/>
      <c r="D29" s="9"/>
      <c r="E29" s="9"/>
      <c r="F29" s="7"/>
      <c r="G29" s="7"/>
      <c r="H29" s="9"/>
      <c r="I29" s="9"/>
    </row>
    <row r="30" spans="1:13" x14ac:dyDescent="0.3">
      <c r="B30" s="7" t="s">
        <v>174</v>
      </c>
      <c r="C30" s="10">
        <f>C26-C28</f>
        <v>5480.3209999999999</v>
      </c>
      <c r="D30" s="10">
        <f>D26-D28</f>
        <v>2526.4894799999997</v>
      </c>
      <c r="E30" s="10">
        <f t="shared" ref="E30" si="2">E26-E28</f>
        <v>3653.9389000000001</v>
      </c>
      <c r="F30" s="7"/>
      <c r="G30" s="7"/>
      <c r="H30" s="9"/>
      <c r="I30" s="9"/>
    </row>
    <row r="31" spans="1:13" x14ac:dyDescent="0.3">
      <c r="B31" s="7"/>
      <c r="C31" s="7"/>
      <c r="D31" s="9"/>
      <c r="E31" s="9"/>
      <c r="F31" s="7"/>
      <c r="G31" s="7"/>
      <c r="H31" s="9"/>
      <c r="I31" s="9"/>
    </row>
    <row r="33" spans="2:8" x14ac:dyDescent="0.3">
      <c r="E33" s="5"/>
    </row>
    <row r="34" spans="2:8" x14ac:dyDescent="0.3">
      <c r="B34" s="1"/>
      <c r="C34" s="1"/>
    </row>
    <row r="35" spans="2:8" x14ac:dyDescent="0.3">
      <c r="B35" s="1"/>
      <c r="C35" s="1"/>
    </row>
    <row r="36" spans="2:8" x14ac:dyDescent="0.3">
      <c r="B36" s="1"/>
      <c r="C36" s="1"/>
      <c r="D36" s="1"/>
      <c r="E36" s="4"/>
      <c r="H36" s="5"/>
    </row>
    <row r="37" spans="2:8" x14ac:dyDescent="0.3">
      <c r="B37" s="1"/>
      <c r="C37" s="1"/>
      <c r="D37" s="1"/>
      <c r="E37" s="4"/>
      <c r="H37" s="3"/>
    </row>
    <row r="39" spans="2:8" x14ac:dyDescent="0.3">
      <c r="B39" s="1"/>
    </row>
    <row r="40" spans="2:8" x14ac:dyDescent="0.3">
      <c r="B40" s="1"/>
    </row>
    <row r="41" spans="2:8" x14ac:dyDescent="0.3">
      <c r="B41" s="1"/>
    </row>
    <row r="42" spans="2:8" x14ac:dyDescent="0.3">
      <c r="E42" s="3"/>
    </row>
    <row r="43" spans="2:8" x14ac:dyDescent="0.3">
      <c r="D43" s="3"/>
      <c r="E43" s="3"/>
    </row>
  </sheetData>
  <mergeCells count="1">
    <mergeCell ref="B1:G1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"/>
  <sheetViews>
    <sheetView topLeftCell="A4" workbookViewId="0">
      <selection activeCell="F26" sqref="F26"/>
    </sheetView>
  </sheetViews>
  <sheetFormatPr defaultRowHeight="14.4" x14ac:dyDescent="0.3"/>
  <cols>
    <col min="1" max="1" width="27" customWidth="1"/>
    <col min="2" max="2" width="10.44140625" customWidth="1"/>
    <col min="3" max="4" width="10.33203125" customWidth="1"/>
    <col min="5" max="5" width="26" customWidth="1"/>
    <col min="6" max="6" width="15.109375" customWidth="1"/>
    <col min="7" max="7" width="9.5546875" bestFit="1" customWidth="1"/>
    <col min="8" max="8" width="18.5546875" customWidth="1"/>
  </cols>
  <sheetData>
    <row r="1" spans="1:8" x14ac:dyDescent="0.3">
      <c r="H1" s="5"/>
    </row>
    <row r="2" spans="1:8" x14ac:dyDescent="0.3">
      <c r="A2" s="50" t="s">
        <v>63</v>
      </c>
      <c r="B2" s="50"/>
      <c r="C2" s="50"/>
      <c r="D2" s="50"/>
      <c r="E2" s="50"/>
      <c r="F2" s="50"/>
    </row>
    <row r="3" spans="1:8" ht="32.25" customHeight="1" x14ac:dyDescent="0.3">
      <c r="A3" s="23" t="s">
        <v>25</v>
      </c>
      <c r="B3" s="8" t="s">
        <v>49</v>
      </c>
      <c r="C3" s="8" t="s">
        <v>42</v>
      </c>
      <c r="D3" s="8" t="s">
        <v>43</v>
      </c>
      <c r="E3" s="23" t="s">
        <v>22</v>
      </c>
      <c r="F3" s="8" t="s">
        <v>49</v>
      </c>
      <c r="G3" s="24" t="s">
        <v>42</v>
      </c>
      <c r="H3" s="8" t="s">
        <v>43</v>
      </c>
    </row>
    <row r="4" spans="1:8" x14ac:dyDescent="0.3">
      <c r="A4" s="13" t="s">
        <v>26</v>
      </c>
      <c r="B4" s="6">
        <v>8000</v>
      </c>
      <c r="C4" s="6">
        <f>B4</f>
        <v>8000</v>
      </c>
      <c r="D4" s="6">
        <v>8500</v>
      </c>
      <c r="E4" s="13" t="s">
        <v>31</v>
      </c>
      <c r="F4" s="6"/>
      <c r="H4" s="15"/>
    </row>
    <row r="5" spans="1:8" x14ac:dyDescent="0.3">
      <c r="A5" s="6"/>
      <c r="B5" s="6"/>
      <c r="C5" s="6"/>
      <c r="D5" s="6"/>
      <c r="E5" s="6" t="s">
        <v>32</v>
      </c>
      <c r="F5" s="6">
        <v>5000</v>
      </c>
      <c r="G5" s="15">
        <v>4500</v>
      </c>
      <c r="H5" s="19">
        <v>6550</v>
      </c>
    </row>
    <row r="6" spans="1:8" x14ac:dyDescent="0.3">
      <c r="A6" s="6"/>
      <c r="B6" s="6"/>
      <c r="C6" s="6"/>
      <c r="D6" s="6"/>
      <c r="E6" s="6" t="s">
        <v>24</v>
      </c>
      <c r="F6" s="6"/>
      <c r="G6" s="15"/>
      <c r="H6" s="15"/>
    </row>
    <row r="7" spans="1:8" x14ac:dyDescent="0.3">
      <c r="A7" s="13" t="s">
        <v>48</v>
      </c>
      <c r="B7" s="6"/>
      <c r="C7" s="6"/>
      <c r="D7" s="6"/>
      <c r="E7" s="6" t="s">
        <v>33</v>
      </c>
      <c r="F7" s="6">
        <v>500</v>
      </c>
      <c r="G7" s="19">
        <v>450</v>
      </c>
      <c r="H7" s="19">
        <v>655</v>
      </c>
    </row>
    <row r="8" spans="1:8" x14ac:dyDescent="0.3">
      <c r="A8" s="6" t="s">
        <v>249</v>
      </c>
      <c r="B8" s="6"/>
      <c r="C8" s="6"/>
      <c r="D8" s="6"/>
      <c r="E8" s="6" t="s">
        <v>34</v>
      </c>
      <c r="F8" s="6">
        <f>F5-F7</f>
        <v>4500</v>
      </c>
      <c r="G8" s="6">
        <f>G5-G7</f>
        <v>4050</v>
      </c>
      <c r="H8" s="6">
        <f>H5-H7</f>
        <v>5895</v>
      </c>
    </row>
    <row r="9" spans="1:8" x14ac:dyDescent="0.3">
      <c r="A9" s="6" t="s">
        <v>62</v>
      </c>
      <c r="B9" s="6">
        <v>4643</v>
      </c>
      <c r="C9" s="11">
        <f>B9+PL!D30</f>
        <v>7169.4894800000002</v>
      </c>
      <c r="D9" s="11">
        <f>C9+PL!E30</f>
        <v>10823.428380000001</v>
      </c>
      <c r="E9" s="6"/>
      <c r="F9" s="6"/>
      <c r="G9" s="15"/>
      <c r="H9" s="15"/>
    </row>
    <row r="10" spans="1:8" x14ac:dyDescent="0.3">
      <c r="A10" s="6"/>
      <c r="B10" s="6"/>
      <c r="C10" s="6"/>
      <c r="D10" s="6"/>
      <c r="E10" s="13" t="s">
        <v>39</v>
      </c>
      <c r="F10" s="6"/>
      <c r="G10" s="15"/>
      <c r="H10" s="15"/>
    </row>
    <row r="11" spans="1:8" x14ac:dyDescent="0.3">
      <c r="A11" s="6"/>
      <c r="B11" s="6"/>
      <c r="C11" s="6"/>
      <c r="D11" s="6"/>
      <c r="E11" s="6" t="s">
        <v>45</v>
      </c>
      <c r="F11" s="6">
        <v>60</v>
      </c>
      <c r="G11" s="15">
        <f>F11</f>
        <v>60</v>
      </c>
      <c r="H11" s="15">
        <f>G11</f>
        <v>60</v>
      </c>
    </row>
    <row r="12" spans="1:8" x14ac:dyDescent="0.3">
      <c r="A12" s="6"/>
      <c r="B12" s="6"/>
      <c r="C12" s="6"/>
      <c r="D12" s="6"/>
      <c r="E12" s="6" t="s">
        <v>44</v>
      </c>
      <c r="F12" s="6">
        <v>40</v>
      </c>
      <c r="G12" s="15">
        <f>F12</f>
        <v>40</v>
      </c>
      <c r="H12" s="15">
        <f>G12</f>
        <v>40</v>
      </c>
    </row>
    <row r="13" spans="1:8" x14ac:dyDescent="0.3">
      <c r="A13" s="13" t="s">
        <v>47</v>
      </c>
      <c r="B13" s="6"/>
      <c r="C13" s="6"/>
      <c r="D13" s="6"/>
      <c r="E13" s="6"/>
      <c r="F13" s="6"/>
      <c r="G13" s="15"/>
      <c r="H13" s="15"/>
    </row>
    <row r="14" spans="1:8" x14ac:dyDescent="0.3">
      <c r="A14" s="6" t="s">
        <v>50</v>
      </c>
      <c r="B14" s="6">
        <v>575</v>
      </c>
      <c r="C14" s="25">
        <f>'W NOTES'!J13</f>
        <v>460</v>
      </c>
      <c r="D14" s="25">
        <f>'W NOTES'!J14</f>
        <v>345</v>
      </c>
      <c r="F14" s="6"/>
      <c r="G14" s="15"/>
      <c r="H14" s="15"/>
    </row>
    <row r="15" spans="1:8" x14ac:dyDescent="0.3">
      <c r="A15" s="6"/>
      <c r="B15" s="6"/>
      <c r="C15" s="6"/>
      <c r="D15" s="25"/>
      <c r="E15" s="6"/>
      <c r="F15" s="6"/>
      <c r="G15" s="15"/>
      <c r="H15" s="15"/>
    </row>
    <row r="16" spans="1:8" x14ac:dyDescent="0.3">
      <c r="A16" s="13" t="s">
        <v>175</v>
      </c>
      <c r="B16" s="6"/>
      <c r="C16" s="6"/>
      <c r="D16" s="6"/>
      <c r="E16" s="6"/>
      <c r="F16" s="6"/>
      <c r="G16" s="15"/>
      <c r="H16" s="15"/>
    </row>
    <row r="17" spans="1:12" x14ac:dyDescent="0.3">
      <c r="A17" s="6" t="s">
        <v>176</v>
      </c>
      <c r="B17" s="6">
        <v>0</v>
      </c>
      <c r="C17" s="6">
        <v>0</v>
      </c>
      <c r="D17" s="25">
        <f>'W NOTES'!J15</f>
        <v>1650</v>
      </c>
      <c r="E17" s="6"/>
      <c r="F17" s="6"/>
      <c r="G17" s="15"/>
      <c r="H17" s="15"/>
    </row>
    <row r="18" spans="1:12" x14ac:dyDescent="0.3">
      <c r="A18" s="6"/>
      <c r="B18" s="6"/>
      <c r="C18" s="6"/>
      <c r="D18" s="6"/>
      <c r="E18" s="13" t="s">
        <v>38</v>
      </c>
      <c r="F18" s="6"/>
      <c r="G18" s="15"/>
      <c r="H18" s="15"/>
    </row>
    <row r="19" spans="1:12" x14ac:dyDescent="0.3">
      <c r="A19" s="6"/>
      <c r="B19" s="6"/>
      <c r="C19" s="6"/>
      <c r="D19" s="6"/>
      <c r="E19" s="6" t="s">
        <v>35</v>
      </c>
      <c r="F19" s="6">
        <f>(PL!G4+PL!G6)*90/360</f>
        <v>1500</v>
      </c>
      <c r="G19" s="6">
        <f>F19*2</f>
        <v>3000</v>
      </c>
      <c r="H19" s="6">
        <f>G19*140%</f>
        <v>4200</v>
      </c>
    </row>
    <row r="20" spans="1:12" x14ac:dyDescent="0.3">
      <c r="A20" s="13" t="s">
        <v>27</v>
      </c>
      <c r="B20" s="6"/>
      <c r="C20" s="6"/>
      <c r="D20" s="6"/>
      <c r="E20" s="6" t="s">
        <v>60</v>
      </c>
      <c r="F20" s="6">
        <f>PL!C18</f>
        <v>600</v>
      </c>
      <c r="G20" s="15">
        <v>0</v>
      </c>
      <c r="H20" s="15">
        <v>726</v>
      </c>
    </row>
    <row r="21" spans="1:12" x14ac:dyDescent="0.3">
      <c r="A21" s="6" t="s">
        <v>28</v>
      </c>
      <c r="B21" s="6">
        <v>10</v>
      </c>
      <c r="C21" s="6">
        <f>B21*110%</f>
        <v>11</v>
      </c>
      <c r="D21" s="6">
        <f>C21*110%</f>
        <v>12.100000000000001</v>
      </c>
      <c r="E21" s="51" t="s">
        <v>36</v>
      </c>
      <c r="F21" s="6">
        <f>216</f>
        <v>216</v>
      </c>
      <c r="G21" s="19">
        <f>'W NOTES'!H21</f>
        <v>233.28</v>
      </c>
      <c r="H21" s="19">
        <v>0</v>
      </c>
    </row>
    <row r="22" spans="1:12" x14ac:dyDescent="0.3">
      <c r="A22" s="6" t="s">
        <v>29</v>
      </c>
      <c r="B22" s="6">
        <v>20</v>
      </c>
      <c r="C22" s="6">
        <f>B22*2</f>
        <v>40</v>
      </c>
      <c r="D22" s="6">
        <f>C22*140%</f>
        <v>56</v>
      </c>
      <c r="E22" s="15" t="s">
        <v>141</v>
      </c>
      <c r="F22" s="6">
        <v>80</v>
      </c>
      <c r="G22" s="15">
        <v>0</v>
      </c>
      <c r="H22" s="15">
        <v>0</v>
      </c>
    </row>
    <row r="23" spans="1:12" x14ac:dyDescent="0.3">
      <c r="A23" s="6" t="s">
        <v>30</v>
      </c>
      <c r="B23" s="6">
        <v>1000</v>
      </c>
      <c r="C23" s="6">
        <f>B23*2</f>
        <v>2000</v>
      </c>
      <c r="D23" s="6">
        <f>C23*140%</f>
        <v>2800</v>
      </c>
      <c r="E23" s="51" t="s">
        <v>37</v>
      </c>
      <c r="F23" s="6">
        <v>120</v>
      </c>
      <c r="G23" s="15">
        <v>150</v>
      </c>
      <c r="H23" s="15">
        <v>300</v>
      </c>
    </row>
    <row r="24" spans="1:12" x14ac:dyDescent="0.3">
      <c r="A24" s="15" t="s">
        <v>150</v>
      </c>
      <c r="B24" s="6">
        <v>75</v>
      </c>
      <c r="C24" s="6">
        <f>B24*2</f>
        <v>150</v>
      </c>
      <c r="D24" s="6">
        <f>C24*140%</f>
        <v>210</v>
      </c>
      <c r="E24" s="15" t="s">
        <v>152</v>
      </c>
      <c r="F24" s="6">
        <v>1000</v>
      </c>
      <c r="G24" s="15">
        <f>F24*2</f>
        <v>2000</v>
      </c>
      <c r="H24" s="15">
        <f>G24*140%</f>
        <v>2800</v>
      </c>
    </row>
    <row r="25" spans="1:12" x14ac:dyDescent="0.3">
      <c r="A25" s="22" t="s">
        <v>40</v>
      </c>
      <c r="B25" s="11">
        <v>288</v>
      </c>
      <c r="C25" s="10">
        <v>1129.79052</v>
      </c>
      <c r="D25" s="10">
        <v>1633.9610999999998</v>
      </c>
      <c r="E25" s="51" t="s">
        <v>61</v>
      </c>
      <c r="F25" s="6">
        <v>4595</v>
      </c>
      <c r="G25" s="39">
        <f>G29-G8-G11-G12-G19-G21-G23-G24-G26</f>
        <v>10157.790519999997</v>
      </c>
      <c r="H25" s="39">
        <f>H29-H8-H11-H12-H19-H20-H23-H24-H26</f>
        <v>12832.596207999999</v>
      </c>
    </row>
    <row r="26" spans="1:12" x14ac:dyDescent="0.3">
      <c r="A26" s="6" t="s">
        <v>46</v>
      </c>
      <c r="B26" s="6">
        <v>100</v>
      </c>
      <c r="C26" s="6">
        <f>B26*2</f>
        <v>200</v>
      </c>
      <c r="D26" s="6">
        <f>C26*140%</f>
        <v>280</v>
      </c>
      <c r="E26" s="52" t="s">
        <v>59</v>
      </c>
      <c r="F26" s="6">
        <f>PL!G7</f>
        <v>2000</v>
      </c>
      <c r="G26" s="15">
        <f>PL!H7</f>
        <v>3000</v>
      </c>
      <c r="H26" s="15">
        <f>PL!I7</f>
        <v>4400</v>
      </c>
    </row>
    <row r="27" spans="1:12" x14ac:dyDescent="0.3">
      <c r="A27" s="15"/>
      <c r="B27" s="15">
        <f>SUM(B21:B26)</f>
        <v>1493</v>
      </c>
      <c r="C27" s="15">
        <f>SUM(C21:C26)</f>
        <v>3530.79052</v>
      </c>
      <c r="D27" s="15">
        <f>C27*140%</f>
        <v>4943.1067279999997</v>
      </c>
      <c r="E27" s="15"/>
      <c r="F27" s="15">
        <f>SUM(F19:F26)</f>
        <v>10111</v>
      </c>
      <c r="G27">
        <f>SUM(G19:G26)</f>
        <v>18541.070519999997</v>
      </c>
      <c r="H27" s="15">
        <f>SUM(H19:H26)</f>
        <v>25258.596207999999</v>
      </c>
    </row>
    <row r="28" spans="1:12" x14ac:dyDescent="0.3">
      <c r="A28" s="15"/>
      <c r="B28" s="15"/>
      <c r="C28" s="15"/>
      <c r="D28" s="15"/>
      <c r="E28" s="6"/>
      <c r="F28" s="6"/>
      <c r="G28" s="15"/>
      <c r="H28" s="15"/>
    </row>
    <row r="29" spans="1:12" ht="24.75" customHeight="1" x14ac:dyDescent="0.3">
      <c r="A29" s="13" t="s">
        <v>168</v>
      </c>
      <c r="B29" s="13">
        <f>SUM(B4:B26)</f>
        <v>14711</v>
      </c>
      <c r="C29" s="13">
        <f>SUM(C4:C27)</f>
        <v>22691.070519999997</v>
      </c>
      <c r="D29" s="13">
        <f>SUM(D4:D27)</f>
        <v>31253.596207999999</v>
      </c>
      <c r="E29" s="13" t="s">
        <v>168</v>
      </c>
      <c r="F29" s="13">
        <f>B29</f>
        <v>14711</v>
      </c>
      <c r="G29" s="13">
        <f>C29</f>
        <v>22691.070519999997</v>
      </c>
      <c r="H29" s="48">
        <f>D29</f>
        <v>31253.596207999999</v>
      </c>
      <c r="J29">
        <f>(F27-F19-F26-F22-F24-F20)/B27</f>
        <v>3.3027461486939047</v>
      </c>
      <c r="K29">
        <f>(G27-G26-G19-G22-G24-G20)/C27</f>
        <v>2.9854703812901358</v>
      </c>
      <c r="L29">
        <f>(H27-H19-H26-H22-H24-H20)/D27</f>
        <v>2.6567494757115022</v>
      </c>
    </row>
    <row r="31" spans="1:12" x14ac:dyDescent="0.3">
      <c r="B31">
        <f>SUM(B21:B26)</f>
        <v>1493</v>
      </c>
    </row>
    <row r="33" spans="6:6" x14ac:dyDescent="0.3">
      <c r="F33">
        <f>F25+F23+F21</f>
        <v>4931</v>
      </c>
    </row>
  </sheetData>
  <mergeCells count="1">
    <mergeCell ref="A2:F2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J22"/>
  <sheetViews>
    <sheetView topLeftCell="B2" workbookViewId="0">
      <selection activeCell="I14" sqref="I14"/>
    </sheetView>
  </sheetViews>
  <sheetFormatPr defaultRowHeight="14.4" x14ac:dyDescent="0.3"/>
  <cols>
    <col min="2" max="2" width="29.5546875" customWidth="1"/>
    <col min="3" max="3" width="20.5546875" customWidth="1"/>
    <col min="4" max="4" width="20.33203125" customWidth="1"/>
    <col min="5" max="5" width="8.88671875" customWidth="1"/>
    <col min="6" max="6" width="15.44140625" bestFit="1" customWidth="1"/>
    <col min="7" max="7" width="17.33203125" bestFit="1" customWidth="1"/>
    <col min="8" max="8" width="15.44140625" bestFit="1" customWidth="1"/>
    <col min="9" max="9" width="20.44140625" bestFit="1" customWidth="1"/>
    <col min="10" max="10" width="21.109375" customWidth="1"/>
  </cols>
  <sheetData>
    <row r="3" spans="2:10" x14ac:dyDescent="0.3">
      <c r="B3" s="1"/>
      <c r="C3" s="1" t="s">
        <v>91</v>
      </c>
    </row>
    <row r="4" spans="2:10" x14ac:dyDescent="0.3">
      <c r="B4" s="15"/>
      <c r="C4" s="17" t="s">
        <v>98</v>
      </c>
      <c r="D4" s="17" t="s">
        <v>92</v>
      </c>
      <c r="E4" s="15" t="s">
        <v>6</v>
      </c>
      <c r="F4" s="17" t="s">
        <v>173</v>
      </c>
      <c r="G4" s="15" t="s">
        <v>93</v>
      </c>
      <c r="H4" s="15" t="s">
        <v>96</v>
      </c>
      <c r="I4" s="15" t="s">
        <v>94</v>
      </c>
    </row>
    <row r="5" spans="2:10" x14ac:dyDescent="0.3">
      <c r="B5" s="15" t="s">
        <v>95</v>
      </c>
      <c r="C5" s="20">
        <v>5000</v>
      </c>
      <c r="D5" s="17">
        <v>0</v>
      </c>
      <c r="E5" s="17">
        <v>0</v>
      </c>
      <c r="F5" s="21">
        <f>C5+D5-E5</f>
        <v>5000</v>
      </c>
      <c r="G5" s="16">
        <v>0.1</v>
      </c>
      <c r="H5" s="21">
        <f>F5*G5</f>
        <v>500</v>
      </c>
      <c r="I5" s="21">
        <f>F5-H5</f>
        <v>4500</v>
      </c>
    </row>
    <row r="6" spans="2:10" x14ac:dyDescent="0.3">
      <c r="B6" s="15" t="s">
        <v>42</v>
      </c>
      <c r="C6" s="20">
        <f>I5</f>
        <v>4500</v>
      </c>
      <c r="D6" s="17"/>
      <c r="E6" s="17"/>
      <c r="F6" s="21">
        <f t="shared" ref="F6:F7" si="0">C6+D6-E6</f>
        <v>4500</v>
      </c>
      <c r="G6" s="16">
        <v>0.1</v>
      </c>
      <c r="H6" s="21">
        <f>F6*G6</f>
        <v>450</v>
      </c>
      <c r="I6" s="21">
        <f>F6-H6</f>
        <v>4050</v>
      </c>
    </row>
    <row r="7" spans="2:10" x14ac:dyDescent="0.3">
      <c r="B7" s="15" t="s">
        <v>43</v>
      </c>
      <c r="C7" s="20">
        <f>I6</f>
        <v>4050</v>
      </c>
      <c r="D7" s="21">
        <v>2500</v>
      </c>
      <c r="E7" s="17"/>
      <c r="F7" s="21">
        <f t="shared" si="0"/>
        <v>6550</v>
      </c>
      <c r="G7" s="16">
        <v>0.1</v>
      </c>
      <c r="H7" s="21">
        <f>F7*G7</f>
        <v>655</v>
      </c>
      <c r="I7" s="21">
        <f>F7-H7</f>
        <v>5895</v>
      </c>
    </row>
    <row r="10" spans="2:10" x14ac:dyDescent="0.3">
      <c r="B10" s="1"/>
      <c r="C10" s="1" t="s">
        <v>97</v>
      </c>
    </row>
    <row r="11" spans="2:10" x14ac:dyDescent="0.3">
      <c r="B11" s="15"/>
      <c r="C11" s="17" t="s">
        <v>98</v>
      </c>
      <c r="D11" s="17" t="s">
        <v>99</v>
      </c>
      <c r="E11" s="15"/>
      <c r="F11" s="17" t="s">
        <v>100</v>
      </c>
      <c r="G11" s="15" t="s">
        <v>101</v>
      </c>
      <c r="H11" s="15" t="s">
        <v>102</v>
      </c>
      <c r="I11" s="15" t="s">
        <v>103</v>
      </c>
      <c r="J11" s="18" t="s">
        <v>239</v>
      </c>
    </row>
    <row r="12" spans="2:10" x14ac:dyDescent="0.3">
      <c r="B12" s="15" t="s">
        <v>95</v>
      </c>
      <c r="C12" s="20">
        <v>500</v>
      </c>
      <c r="D12" s="17">
        <v>0</v>
      </c>
      <c r="E12" s="15"/>
      <c r="F12" s="17">
        <v>0</v>
      </c>
      <c r="G12" s="19">
        <f>C12+D12-F12</f>
        <v>500</v>
      </c>
      <c r="H12" s="16">
        <v>0.15</v>
      </c>
      <c r="I12" s="19">
        <f>G12*H12</f>
        <v>75</v>
      </c>
      <c r="J12" s="19">
        <f>G12+I12</f>
        <v>575</v>
      </c>
    </row>
    <row r="13" spans="2:10" x14ac:dyDescent="0.3">
      <c r="B13" s="15" t="s">
        <v>42</v>
      </c>
      <c r="C13" s="21">
        <f>J12</f>
        <v>575</v>
      </c>
      <c r="D13" s="21">
        <v>0</v>
      </c>
      <c r="E13" s="21"/>
      <c r="F13" s="21">
        <f>500/5+I12</f>
        <v>175</v>
      </c>
      <c r="G13" s="19">
        <f>C13+D13-F13</f>
        <v>400</v>
      </c>
      <c r="H13" s="16">
        <v>0.15</v>
      </c>
      <c r="I13" s="19">
        <f>G13*H13</f>
        <v>60</v>
      </c>
      <c r="J13" s="19">
        <f>G13+I13</f>
        <v>460</v>
      </c>
    </row>
    <row r="14" spans="2:10" x14ac:dyDescent="0.3">
      <c r="B14" s="15" t="s">
        <v>43</v>
      </c>
      <c r="C14" s="21">
        <f>J13</f>
        <v>460</v>
      </c>
      <c r="D14" s="21">
        <v>0</v>
      </c>
      <c r="E14" s="21"/>
      <c r="F14" s="21">
        <f>500/5+I13</f>
        <v>160</v>
      </c>
      <c r="G14" s="19">
        <f t="shared" ref="G14" si="1">C14+D14-F14</f>
        <v>300</v>
      </c>
      <c r="H14" s="16">
        <v>0.15</v>
      </c>
      <c r="I14" s="19">
        <f>G14*H14</f>
        <v>45</v>
      </c>
      <c r="J14" s="19">
        <f>G14+I14</f>
        <v>345</v>
      </c>
    </row>
    <row r="15" spans="2:10" x14ac:dyDescent="0.3">
      <c r="B15" s="15" t="s">
        <v>240</v>
      </c>
      <c r="C15" s="21">
        <v>0</v>
      </c>
      <c r="D15" s="17">
        <v>1500</v>
      </c>
      <c r="E15" s="17"/>
      <c r="F15" s="21">
        <v>0</v>
      </c>
      <c r="G15" s="19">
        <f>C15+D15-F15</f>
        <v>1500</v>
      </c>
      <c r="H15" s="16">
        <v>0.1</v>
      </c>
      <c r="I15" s="19">
        <f>G15*H15</f>
        <v>150</v>
      </c>
      <c r="J15" s="19">
        <f>G15+I15</f>
        <v>1650</v>
      </c>
    </row>
    <row r="16" spans="2:10" x14ac:dyDescent="0.3">
      <c r="B16" s="18"/>
      <c r="C16" s="21"/>
      <c r="D16" s="17"/>
      <c r="E16" s="17"/>
      <c r="F16" s="21"/>
      <c r="G16" s="19"/>
      <c r="H16" s="16"/>
      <c r="I16" s="19"/>
      <c r="J16" s="19"/>
    </row>
    <row r="18" spans="2:8" x14ac:dyDescent="0.3">
      <c r="C18" s="1" t="s">
        <v>104</v>
      </c>
    </row>
    <row r="19" spans="2:8" x14ac:dyDescent="0.3">
      <c r="B19" s="15" t="s">
        <v>105</v>
      </c>
      <c r="C19" s="17" t="s">
        <v>106</v>
      </c>
      <c r="D19" s="17" t="s">
        <v>172</v>
      </c>
      <c r="E19" s="15" t="s">
        <v>107</v>
      </c>
      <c r="F19" s="17" t="s">
        <v>101</v>
      </c>
      <c r="G19" s="15" t="s">
        <v>87</v>
      </c>
      <c r="H19" s="15" t="s">
        <v>108</v>
      </c>
    </row>
    <row r="20" spans="2:8" x14ac:dyDescent="0.3">
      <c r="B20" s="15" t="s">
        <v>11</v>
      </c>
      <c r="C20" s="21">
        <v>200</v>
      </c>
      <c r="D20" s="21">
        <v>0</v>
      </c>
      <c r="E20" s="21">
        <v>0</v>
      </c>
      <c r="F20" s="21">
        <f>C20+D20-E20</f>
        <v>200</v>
      </c>
      <c r="G20" s="21">
        <f>F20*8%</f>
        <v>16</v>
      </c>
      <c r="H20" s="21">
        <f>F20+G20</f>
        <v>216</v>
      </c>
    </row>
    <row r="21" spans="2:8" x14ac:dyDescent="0.3">
      <c r="B21" s="15" t="s">
        <v>42</v>
      </c>
      <c r="C21" s="21">
        <f>H20</f>
        <v>216</v>
      </c>
      <c r="D21" s="21">
        <v>0</v>
      </c>
      <c r="E21" s="21">
        <v>0</v>
      </c>
      <c r="F21" s="21">
        <f t="shared" ref="F21:F22" si="2">C21+D21-E21</f>
        <v>216</v>
      </c>
      <c r="G21" s="21">
        <f>F21*8%</f>
        <v>17.28</v>
      </c>
      <c r="H21" s="21">
        <f>F21+G21</f>
        <v>233.28</v>
      </c>
    </row>
    <row r="22" spans="2:8" x14ac:dyDescent="0.3">
      <c r="B22" s="15" t="s">
        <v>43</v>
      </c>
      <c r="C22" s="21">
        <f>H21</f>
        <v>233.28</v>
      </c>
      <c r="D22" s="21">
        <v>0</v>
      </c>
      <c r="E22" s="21">
        <f>C22</f>
        <v>233.28</v>
      </c>
      <c r="F22" s="21">
        <f t="shared" si="2"/>
        <v>0</v>
      </c>
      <c r="G22" s="21">
        <f>F22*8%</f>
        <v>0</v>
      </c>
      <c r="H22" s="21">
        <f>F22+G22</f>
        <v>0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49"/>
  <sheetViews>
    <sheetView tabSelected="1" topLeftCell="A22" workbookViewId="0">
      <selection activeCell="D34" sqref="D34"/>
    </sheetView>
  </sheetViews>
  <sheetFormatPr defaultRowHeight="14.4" x14ac:dyDescent="0.3"/>
  <cols>
    <col min="4" max="4" width="30.44140625" customWidth="1"/>
    <col min="6" max="6" width="12" bestFit="1" customWidth="1"/>
    <col min="7" max="7" width="11" bestFit="1" customWidth="1"/>
  </cols>
  <sheetData>
    <row r="3" spans="3:10" ht="43.2" x14ac:dyDescent="0.3">
      <c r="C3" s="34" t="s">
        <v>198</v>
      </c>
      <c r="D3" s="34" t="s">
        <v>199</v>
      </c>
      <c r="E3" s="34" t="s">
        <v>200</v>
      </c>
      <c r="F3" s="8" t="s">
        <v>11</v>
      </c>
      <c r="G3" s="8" t="s">
        <v>42</v>
      </c>
      <c r="H3" s="8" t="s">
        <v>43</v>
      </c>
    </row>
    <row r="4" spans="3:10" x14ac:dyDescent="0.3">
      <c r="C4" s="34"/>
      <c r="D4" s="35" t="s">
        <v>201</v>
      </c>
      <c r="E4" s="34"/>
    </row>
    <row r="5" spans="3:10" ht="43.2" x14ac:dyDescent="0.3">
      <c r="C5" s="36">
        <v>1</v>
      </c>
      <c r="D5" s="34" t="s">
        <v>202</v>
      </c>
      <c r="E5" s="34" t="s">
        <v>203</v>
      </c>
      <c r="F5" s="37">
        <f>PL!C9/(PL!G4+PL!G6)</f>
        <v>0.5</v>
      </c>
      <c r="G5" s="37">
        <f>PL!D9/(PL!H4+PL!H6)</f>
        <v>0.5</v>
      </c>
      <c r="H5" s="37">
        <f>PL!E9/(PL!I4+PL!I6)</f>
        <v>0.5</v>
      </c>
    </row>
    <row r="6" spans="3:10" ht="43.2" x14ac:dyDescent="0.3">
      <c r="C6" s="36">
        <f>1+C5</f>
        <v>2</v>
      </c>
      <c r="D6" s="34" t="s">
        <v>204</v>
      </c>
      <c r="E6" s="34" t="s">
        <v>205</v>
      </c>
      <c r="F6" s="2">
        <f>PL!C26/(PL!G4+PL!G6)</f>
        <v>1.3218333333333334</v>
      </c>
      <c r="G6" s="2">
        <f>PL!D26/(PL!H4+PL!H6)</f>
        <v>0.30468999999999996</v>
      </c>
      <c r="H6" s="2">
        <f>PL!E26/PL!M25</f>
        <v>0.31475595238095239</v>
      </c>
    </row>
    <row r="7" spans="3:10" ht="72" x14ac:dyDescent="0.3">
      <c r="C7" s="36">
        <f>1+C6</f>
        <v>3</v>
      </c>
      <c r="D7" s="34" t="s">
        <v>206</v>
      </c>
      <c r="E7" s="34" t="s">
        <v>207</v>
      </c>
      <c r="F7" s="2">
        <f>(PL!C26+PL!C23-PL!G12)/(PL!G4+PL!G6)</f>
        <v>1.3316666666666668</v>
      </c>
      <c r="G7" s="2">
        <f>(PL!D26+PL!D23-PL!H12)/PL!L25</f>
        <v>0.30824999999999997</v>
      </c>
      <c r="H7" s="2">
        <f>(PL!E26+PL!E23-PL!I12)/PL!M25</f>
        <v>0.3263630952380952</v>
      </c>
    </row>
    <row r="8" spans="3:10" x14ac:dyDescent="0.3">
      <c r="C8" s="36"/>
      <c r="D8" s="35" t="s">
        <v>208</v>
      </c>
      <c r="E8" s="34"/>
    </row>
    <row r="9" spans="3:10" x14ac:dyDescent="0.3">
      <c r="C9" s="36">
        <v>4</v>
      </c>
      <c r="D9" s="34" t="s">
        <v>209</v>
      </c>
      <c r="E9" s="34" t="s">
        <v>210</v>
      </c>
      <c r="F9" s="38">
        <f>(BS!F27)/BS!B27</f>
        <v>6.7722705961152041</v>
      </c>
      <c r="G9" s="38">
        <f>BS!G27/BS!C27</f>
        <v>5.2512519264382744</v>
      </c>
      <c r="H9" s="38">
        <f>BS!H27/BS!D27</f>
        <v>5.1098626021817104</v>
      </c>
    </row>
    <row r="10" spans="3:10" ht="86.4" x14ac:dyDescent="0.3">
      <c r="C10" s="36">
        <f>1+C9</f>
        <v>5</v>
      </c>
      <c r="D10" s="34" t="s">
        <v>211</v>
      </c>
      <c r="E10" s="34" t="s">
        <v>250</v>
      </c>
      <c r="F10">
        <f>BS!J29</f>
        <v>3.3027461486939047</v>
      </c>
      <c r="G10">
        <f>BS!K29</f>
        <v>2.9854703812901358</v>
      </c>
      <c r="H10">
        <f>BS!L29</f>
        <v>2.6567494757115022</v>
      </c>
    </row>
    <row r="11" spans="3:10" ht="86.4" x14ac:dyDescent="0.3">
      <c r="C11" s="36">
        <f>1+C10</f>
        <v>6</v>
      </c>
      <c r="D11" s="34" t="s">
        <v>212</v>
      </c>
      <c r="E11" s="34" t="s">
        <v>213</v>
      </c>
      <c r="F11">
        <f>BS!B14/(BS!B4+BS!B9)</f>
        <v>4.5479712093648657E-2</v>
      </c>
      <c r="G11">
        <f>BS!C14/(BS!C4+BS!C9)</f>
        <v>3.0324026435199453E-2</v>
      </c>
      <c r="H11">
        <f>BS!D14+BS!D17/(BS!D4+BS!D9)</f>
        <v>345.08538857430227</v>
      </c>
      <c r="J11" t="s">
        <v>253</v>
      </c>
    </row>
    <row r="12" spans="3:10" ht="129.6" x14ac:dyDescent="0.3">
      <c r="C12" s="36">
        <f>1+C11</f>
        <v>7</v>
      </c>
      <c r="D12" s="34" t="s">
        <v>214</v>
      </c>
      <c r="E12" s="34" t="s">
        <v>215</v>
      </c>
      <c r="F12">
        <f>(BS!B14+BS!B17)/(BS!B4+BS!B9+BS!B14+BS!B17)</f>
        <v>4.3501286124981088E-2</v>
      </c>
      <c r="G12">
        <f>(BS!C14+BS!C17)/(BS!C4+BS!C9+BS!C14+BS!C17)</f>
        <v>2.9431543531132663E-2</v>
      </c>
      <c r="H12">
        <f>(BS!D14+BS!D17)/(BS!D4+BS!D9+BS!D14+BS!D17)</f>
        <v>9.3581007213065476E-2</v>
      </c>
    </row>
    <row r="13" spans="3:10" x14ac:dyDescent="0.3">
      <c r="C13" s="36"/>
      <c r="D13" s="35" t="s">
        <v>216</v>
      </c>
      <c r="E13" s="34"/>
    </row>
    <row r="14" spans="3:10" ht="43.2" x14ac:dyDescent="0.3">
      <c r="C14" s="36">
        <v>8</v>
      </c>
      <c r="D14" s="34" t="s">
        <v>217</v>
      </c>
      <c r="E14" s="34" t="s">
        <v>218</v>
      </c>
      <c r="F14">
        <f>PL!G4/BS!F19</f>
        <v>3.3333333333333335</v>
      </c>
      <c r="G14">
        <f>PL!H4/BS!G19</f>
        <v>3.3333333333333335</v>
      </c>
      <c r="H14">
        <f>PL!I4/BS!H19</f>
        <v>3.3333333333333335</v>
      </c>
    </row>
    <row r="15" spans="3:10" ht="57.6" x14ac:dyDescent="0.3">
      <c r="C15" s="36">
        <f t="shared" ref="C15:C21" si="0">1+C14</f>
        <v>9</v>
      </c>
      <c r="D15" s="34" t="s">
        <v>219</v>
      </c>
      <c r="E15" s="34" t="s">
        <v>220</v>
      </c>
      <c r="F15">
        <f>360/F14</f>
        <v>108</v>
      </c>
      <c r="G15">
        <f>360/G14</f>
        <v>108</v>
      </c>
      <c r="H15">
        <f>360/H14</f>
        <v>108</v>
      </c>
    </row>
    <row r="16" spans="3:10" ht="57.6" x14ac:dyDescent="0.3">
      <c r="C16" s="36">
        <f t="shared" si="0"/>
        <v>10</v>
      </c>
      <c r="D16" s="34" t="s">
        <v>254</v>
      </c>
      <c r="E16" s="34" t="s">
        <v>221</v>
      </c>
      <c r="F16">
        <f>(PL!C5+PL!C7+PL!C8)/BS!B23</f>
        <v>3.5</v>
      </c>
      <c r="G16">
        <f>(PL!D5+PL!D7+PL!D8)/BS!C23</f>
        <v>3.5</v>
      </c>
      <c r="H16">
        <f>(PL!E5+PL!E7+PL!E8)/BS!D23</f>
        <v>3.5</v>
      </c>
    </row>
    <row r="17" spans="3:8" ht="43.2" x14ac:dyDescent="0.3">
      <c r="C17" s="36">
        <f t="shared" si="0"/>
        <v>11</v>
      </c>
      <c r="D17" s="34" t="s">
        <v>222</v>
      </c>
      <c r="E17" s="34" t="s">
        <v>223</v>
      </c>
      <c r="F17">
        <f>PL!L16/BS!B23</f>
        <v>1.31</v>
      </c>
      <c r="G17">
        <f>PL!M16/BS!C23</f>
        <v>0.72550000000000003</v>
      </c>
      <c r="H17">
        <f>PL!N16/BS!D23</f>
        <v>0.60789285714285712</v>
      </c>
    </row>
    <row r="18" spans="3:8" ht="28.8" x14ac:dyDescent="0.3">
      <c r="C18" s="36">
        <f t="shared" si="0"/>
        <v>12</v>
      </c>
      <c r="D18" s="34" t="s">
        <v>224</v>
      </c>
      <c r="E18" s="34" t="s">
        <v>225</v>
      </c>
      <c r="F18">
        <f>360/F16</f>
        <v>102.85714285714286</v>
      </c>
      <c r="G18">
        <f t="shared" ref="G18:H18" si="1">360/G16</f>
        <v>102.85714285714286</v>
      </c>
      <c r="H18">
        <f t="shared" si="1"/>
        <v>102.85714285714286</v>
      </c>
    </row>
    <row r="19" spans="3:8" ht="28.8" x14ac:dyDescent="0.3">
      <c r="C19" s="36">
        <f t="shared" si="0"/>
        <v>13</v>
      </c>
      <c r="D19" s="34" t="s">
        <v>226</v>
      </c>
      <c r="E19" s="34" t="s">
        <v>225</v>
      </c>
      <c r="F19">
        <f>360/F17</f>
        <v>274.80916030534348</v>
      </c>
      <c r="G19">
        <f t="shared" ref="G19:H19" si="2">360/G17</f>
        <v>496.20951068228806</v>
      </c>
      <c r="H19">
        <f t="shared" si="2"/>
        <v>592.20962340638039</v>
      </c>
    </row>
    <row r="20" spans="3:8" ht="28.8" x14ac:dyDescent="0.3">
      <c r="C20" s="36">
        <f t="shared" si="0"/>
        <v>14</v>
      </c>
      <c r="D20" s="34" t="s">
        <v>227</v>
      </c>
      <c r="E20" s="34" t="s">
        <v>228</v>
      </c>
      <c r="F20">
        <f>((PL!G4+PL!G6)-PL!C9)/BS!F26</f>
        <v>1.5</v>
      </c>
      <c r="G20">
        <f>(PL!L25-PL!D9)/BS!G26</f>
        <v>2</v>
      </c>
      <c r="H20">
        <f>(PL!M25-PL!E9)/BS!H26</f>
        <v>1.9090909090909092</v>
      </c>
    </row>
    <row r="21" spans="3:8" x14ac:dyDescent="0.3">
      <c r="C21" s="36">
        <f t="shared" si="0"/>
        <v>15</v>
      </c>
      <c r="D21" s="34" t="s">
        <v>229</v>
      </c>
      <c r="E21" s="34" t="s">
        <v>230</v>
      </c>
      <c r="F21">
        <f>360/F20</f>
        <v>240</v>
      </c>
      <c r="G21">
        <f t="shared" ref="G21:H21" si="3">360/G20</f>
        <v>180</v>
      </c>
      <c r="H21">
        <f t="shared" si="3"/>
        <v>188.57142857142856</v>
      </c>
    </row>
    <row r="22" spans="3:8" ht="28.8" x14ac:dyDescent="0.3">
      <c r="C22" s="36"/>
      <c r="D22" s="34" t="s">
        <v>231</v>
      </c>
      <c r="E22" s="34"/>
    </row>
    <row r="23" spans="3:8" ht="43.2" x14ac:dyDescent="0.3">
      <c r="C23" s="36">
        <f>+C21+1</f>
        <v>16</v>
      </c>
      <c r="D23" s="34" t="s">
        <v>232</v>
      </c>
      <c r="E23" s="34" t="s">
        <v>233</v>
      </c>
      <c r="F23" t="e">
        <f>F31/F33</f>
        <v>#DIV/0!</v>
      </c>
      <c r="G23">
        <f>G31/G33</f>
        <v>40.486526399999995</v>
      </c>
      <c r="H23">
        <f t="shared" ref="G23:H23" si="4">H31/H33</f>
        <v>75.065648333333328</v>
      </c>
    </row>
    <row r="24" spans="3:8" ht="86.4" x14ac:dyDescent="0.3">
      <c r="C24" s="36">
        <f>+C23+1</f>
        <v>17</v>
      </c>
      <c r="D24" s="34" t="s">
        <v>234</v>
      </c>
      <c r="E24" s="34" t="s">
        <v>235</v>
      </c>
      <c r="F24" s="5" t="e">
        <f>F43/F47</f>
        <v>#DIV/0!</v>
      </c>
      <c r="G24" s="5">
        <f>G43/G47</f>
        <v>17.351368457142854</v>
      </c>
      <c r="H24" s="5">
        <f t="shared" ref="G24:H24" si="5">H43/H47</f>
        <v>28.149618125</v>
      </c>
    </row>
    <row r="26" spans="3:8" x14ac:dyDescent="0.3">
      <c r="D26" s="53" t="s">
        <v>261</v>
      </c>
    </row>
    <row r="28" spans="3:8" x14ac:dyDescent="0.3">
      <c r="D28" t="s">
        <v>255</v>
      </c>
      <c r="F28" s="3">
        <f>PL!C30</f>
        <v>5480.3209999999999</v>
      </c>
      <c r="G28" s="3">
        <f>PL!D30</f>
        <v>2526.4894799999997</v>
      </c>
      <c r="H28" s="3">
        <f>PL!E30</f>
        <v>3653.9389000000001</v>
      </c>
    </row>
    <row r="29" spans="3:8" x14ac:dyDescent="0.3">
      <c r="C29" t="s">
        <v>266</v>
      </c>
      <c r="D29" t="s">
        <v>268</v>
      </c>
      <c r="F29">
        <f>PL!C23</f>
        <v>75</v>
      </c>
      <c r="G29">
        <f>PL!D23</f>
        <v>60</v>
      </c>
      <c r="H29">
        <f>PL!E23</f>
        <v>195</v>
      </c>
    </row>
    <row r="30" spans="3:8" x14ac:dyDescent="0.3">
      <c r="D30" t="s">
        <v>257</v>
      </c>
      <c r="F30">
        <f>PL!C20</f>
        <v>500</v>
      </c>
      <c r="G30">
        <f>PL!D20</f>
        <v>450</v>
      </c>
      <c r="H30">
        <f>PL!E20</f>
        <v>655</v>
      </c>
    </row>
    <row r="31" spans="3:8" x14ac:dyDescent="0.3">
      <c r="D31" t="s">
        <v>258</v>
      </c>
      <c r="F31" s="3">
        <f>SUM(F28:F30)</f>
        <v>6055.3209999999999</v>
      </c>
      <c r="G31" s="3">
        <f t="shared" ref="G31:H31" si="6">SUM(G28:G30)</f>
        <v>3036.4894799999997</v>
      </c>
      <c r="H31" s="3">
        <f t="shared" si="6"/>
        <v>4503.9389000000001</v>
      </c>
    </row>
    <row r="33" spans="3:8" x14ac:dyDescent="0.3">
      <c r="C33" t="s">
        <v>267</v>
      </c>
      <c r="D33" t="s">
        <v>269</v>
      </c>
      <c r="F33" s="5">
        <v>0</v>
      </c>
      <c r="G33" s="5">
        <f>'W NOTES'!I12</f>
        <v>75</v>
      </c>
      <c r="H33" s="5">
        <f>'W NOTES'!I13</f>
        <v>60</v>
      </c>
    </row>
    <row r="35" spans="3:8" x14ac:dyDescent="0.3">
      <c r="D35" t="s">
        <v>262</v>
      </c>
    </row>
    <row r="38" spans="3:8" x14ac:dyDescent="0.3">
      <c r="D38" s="1" t="s">
        <v>265</v>
      </c>
    </row>
    <row r="40" spans="3:8" x14ac:dyDescent="0.3">
      <c r="D40" t="s">
        <v>255</v>
      </c>
      <c r="F40">
        <v>5480.3209999999999</v>
      </c>
      <c r="G40">
        <v>2526.4894799999997</v>
      </c>
      <c r="H40">
        <v>3653.9389000000001</v>
      </c>
    </row>
    <row r="41" spans="3:8" x14ac:dyDescent="0.3">
      <c r="C41" t="s">
        <v>266</v>
      </c>
      <c r="D41" t="s">
        <v>256</v>
      </c>
      <c r="F41">
        <v>75</v>
      </c>
      <c r="G41">
        <v>60</v>
      </c>
      <c r="H41">
        <v>195</v>
      </c>
    </row>
    <row r="42" spans="3:8" x14ac:dyDescent="0.3">
      <c r="D42" t="s">
        <v>257</v>
      </c>
      <c r="F42">
        <v>500</v>
      </c>
      <c r="G42">
        <v>450</v>
      </c>
      <c r="H42">
        <v>655</v>
      </c>
    </row>
    <row r="43" spans="3:8" x14ac:dyDescent="0.3">
      <c r="D43" t="s">
        <v>258</v>
      </c>
      <c r="F43">
        <v>6055.3209999999999</v>
      </c>
      <c r="G43">
        <v>3036.4894799999997</v>
      </c>
      <c r="H43">
        <v>4503.9389000000001</v>
      </c>
    </row>
    <row r="45" spans="3:8" x14ac:dyDescent="0.3">
      <c r="C45" t="s">
        <v>267</v>
      </c>
      <c r="D45" t="s">
        <v>259</v>
      </c>
      <c r="F45" s="5">
        <v>0</v>
      </c>
      <c r="G45" s="5">
        <v>75</v>
      </c>
      <c r="H45" s="5">
        <v>60</v>
      </c>
    </row>
    <row r="46" spans="3:8" x14ac:dyDescent="0.3">
      <c r="C46" t="s">
        <v>267</v>
      </c>
      <c r="D46" t="s">
        <v>263</v>
      </c>
      <c r="F46">
        <v>0</v>
      </c>
      <c r="G46">
        <v>100</v>
      </c>
      <c r="H46">
        <v>100</v>
      </c>
    </row>
    <row r="47" spans="3:8" x14ac:dyDescent="0.3">
      <c r="D47" t="s">
        <v>264</v>
      </c>
      <c r="F47" s="5">
        <f>SUM(F45:F46)</f>
        <v>0</v>
      </c>
      <c r="G47" s="5">
        <f t="shared" ref="G47:H47" si="7">SUM(G45:G46)</f>
        <v>175</v>
      </c>
      <c r="H47" s="5">
        <f t="shared" si="7"/>
        <v>160</v>
      </c>
    </row>
    <row r="49" spans="4:4" x14ac:dyDescent="0.3">
      <c r="D49" t="s">
        <v>260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4" workbookViewId="0">
      <selection activeCell="A23" sqref="A23:J28"/>
    </sheetView>
  </sheetViews>
  <sheetFormatPr defaultRowHeight="14.4" x14ac:dyDescent="0.3"/>
  <sheetData>
    <row r="1" spans="1:1" x14ac:dyDescent="0.3">
      <c r="A1" t="s">
        <v>151</v>
      </c>
    </row>
    <row r="2" spans="1:1" x14ac:dyDescent="0.3">
      <c r="A2" t="s">
        <v>153</v>
      </c>
    </row>
    <row r="3" spans="1:1" x14ac:dyDescent="0.3">
      <c r="A3" t="s">
        <v>154</v>
      </c>
    </row>
    <row r="4" spans="1:1" x14ac:dyDescent="0.3">
      <c r="A4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31" spans="1:4" x14ac:dyDescent="0.3">
      <c r="A31" t="s">
        <v>167</v>
      </c>
      <c r="C31">
        <v>10000</v>
      </c>
      <c r="D31">
        <f>C31*140%</f>
        <v>14000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35"/>
  <sheetViews>
    <sheetView topLeftCell="A12" workbookViewId="0">
      <selection activeCell="C33" sqref="C33"/>
    </sheetView>
  </sheetViews>
  <sheetFormatPr defaultRowHeight="14.4" x14ac:dyDescent="0.3"/>
  <cols>
    <col min="3" max="3" width="39.88671875" bestFit="1" customWidth="1"/>
    <col min="4" max="4" width="9.88671875" customWidth="1"/>
    <col min="5" max="5" width="10.109375" customWidth="1"/>
  </cols>
  <sheetData>
    <row r="4" spans="3:5" ht="28.8" x14ac:dyDescent="0.55000000000000004">
      <c r="C4" s="26" t="s">
        <v>177</v>
      </c>
    </row>
    <row r="5" spans="3:5" ht="28.8" x14ac:dyDescent="0.3">
      <c r="D5" s="27" t="s">
        <v>180</v>
      </c>
      <c r="E5" s="27" t="s">
        <v>181</v>
      </c>
    </row>
    <row r="6" spans="3:5" x14ac:dyDescent="0.3">
      <c r="C6" s="28" t="s">
        <v>178</v>
      </c>
    </row>
    <row r="9" spans="3:5" x14ac:dyDescent="0.3">
      <c r="D9" s="3"/>
      <c r="E9" s="3"/>
    </row>
    <row r="11" spans="3:5" x14ac:dyDescent="0.3">
      <c r="D11" s="5"/>
      <c r="E11" s="5"/>
    </row>
    <row r="12" spans="3:5" ht="15" thickBot="1" x14ac:dyDescent="0.35">
      <c r="D12" s="29"/>
      <c r="E12" s="29"/>
    </row>
    <row r="13" spans="3:5" ht="15" thickTop="1" x14ac:dyDescent="0.3"/>
    <row r="16" spans="3:5" x14ac:dyDescent="0.3">
      <c r="C16" s="28" t="s">
        <v>179</v>
      </c>
    </row>
    <row r="19" spans="3:5" x14ac:dyDescent="0.3">
      <c r="E19" s="5"/>
    </row>
    <row r="20" spans="3:5" ht="15" thickBot="1" x14ac:dyDescent="0.35">
      <c r="D20" s="29"/>
      <c r="E20" s="29"/>
    </row>
    <row r="21" spans="3:5" ht="15" thickTop="1" x14ac:dyDescent="0.3"/>
    <row r="22" spans="3:5" x14ac:dyDescent="0.3">
      <c r="C22" t="s">
        <v>182</v>
      </c>
    </row>
    <row r="26" spans="3:5" x14ac:dyDescent="0.3">
      <c r="C26" s="1" t="s">
        <v>183</v>
      </c>
    </row>
    <row r="29" spans="3:5" x14ac:dyDescent="0.3">
      <c r="C29" s="1" t="s">
        <v>184</v>
      </c>
    </row>
    <row r="33" spans="3:3" x14ac:dyDescent="0.3">
      <c r="C33" s="1" t="s">
        <v>185</v>
      </c>
    </row>
    <row r="35" spans="3:3" x14ac:dyDescent="0.3">
      <c r="C35" s="1" t="s">
        <v>186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E32"/>
  <sheetViews>
    <sheetView topLeftCell="A22" workbookViewId="0">
      <selection activeCell="B36" sqref="B36"/>
    </sheetView>
  </sheetViews>
  <sheetFormatPr defaultRowHeight="14.4" x14ac:dyDescent="0.3"/>
  <cols>
    <col min="3" max="3" width="31.88671875" bestFit="1" customWidth="1"/>
  </cols>
  <sheetData>
    <row r="10" spans="3:5" x14ac:dyDescent="0.3">
      <c r="C10" t="s">
        <v>191</v>
      </c>
    </row>
    <row r="13" spans="3:5" x14ac:dyDescent="0.3">
      <c r="D13" s="5"/>
      <c r="E13" s="5"/>
    </row>
    <row r="17" spans="2:5" x14ac:dyDescent="0.3">
      <c r="D17" s="1"/>
      <c r="E17" s="1"/>
    </row>
    <row r="20" spans="2:5" x14ac:dyDescent="0.3">
      <c r="C20" s="1" t="s">
        <v>192</v>
      </c>
    </row>
    <row r="21" spans="2:5" x14ac:dyDescent="0.3">
      <c r="D21" s="5"/>
      <c r="E21" s="5"/>
    </row>
    <row r="22" spans="2:5" x14ac:dyDescent="0.3">
      <c r="D22" s="3"/>
      <c r="E22" s="3"/>
    </row>
    <row r="25" spans="2:5" x14ac:dyDescent="0.3">
      <c r="C25" s="33"/>
    </row>
    <row r="26" spans="2:5" x14ac:dyDescent="0.3">
      <c r="D26" s="32"/>
      <c r="E26" s="32"/>
    </row>
    <row r="28" spans="2:5" x14ac:dyDescent="0.3">
      <c r="C28" s="1" t="s">
        <v>193</v>
      </c>
    </row>
    <row r="30" spans="2:5" x14ac:dyDescent="0.3">
      <c r="B30" s="1"/>
      <c r="C30" s="1" t="s">
        <v>194</v>
      </c>
    </row>
    <row r="31" spans="2:5" x14ac:dyDescent="0.3">
      <c r="B31" s="1" t="s">
        <v>195</v>
      </c>
      <c r="C31" s="1" t="s">
        <v>196</v>
      </c>
    </row>
    <row r="32" spans="2:5" x14ac:dyDescent="0.3">
      <c r="B32" s="1"/>
      <c r="C32" s="1" t="s">
        <v>197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LOGIC</vt:lpstr>
      <vt:lpstr>ASSUMPTIONS</vt:lpstr>
      <vt:lpstr>PL</vt:lpstr>
      <vt:lpstr>BS</vt:lpstr>
      <vt:lpstr>W NOTES</vt:lpstr>
      <vt:lpstr>RATIOS</vt:lpstr>
      <vt:lpstr>Sheet2</vt:lpstr>
      <vt:lpstr>fund flow</vt:lpstr>
      <vt:lpstr>cash flow</vt:lpstr>
      <vt:lpstr>cash flow statment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Davneet</dc:creator>
  <cp:lastModifiedBy>Tripat</cp:lastModifiedBy>
  <dcterms:created xsi:type="dcterms:W3CDTF">2013-12-29T06:25:51Z</dcterms:created>
  <dcterms:modified xsi:type="dcterms:W3CDTF">2016-05-16T06:59:59Z</dcterms:modified>
</cp:coreProperties>
</file>